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earch\VAIC\UoH_Funded\Data\"/>
    </mc:Choice>
  </mc:AlternateContent>
  <bookViews>
    <workbookView xWindow="120" yWindow="105" windowWidth="15570" windowHeight="7425" firstSheet="1" activeTab="2" xr2:uid="{00000000-000D-0000-FFFF-FFFF00000000}"/>
  </bookViews>
  <sheets>
    <sheet name="STC" sheetId="1" r:id="rId1"/>
    <sheet name="MTC Zain" sheetId="2" r:id="rId2"/>
    <sheet name="Etihad Etisalat (mobily)" sheetId="5" r:id="rId3"/>
    <sheet name="Etihad Atheeb" sheetId="3" r:id="rId4"/>
    <sheet name="XX" sheetId="4" r:id="rId5"/>
    <sheet name="NILL" sheetId="7" r:id="rId6"/>
    <sheet name="SPSS Format" sheetId="8" r:id="rId7"/>
    <sheet name="ARPU" sheetId="9" r:id="rId8"/>
    <sheet name="Sheet1" sheetId="10" r:id="rId9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1027" iterate="1"/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I9" i="8" l="1"/>
  <c r="I8" i="8"/>
  <c r="I7" i="8"/>
  <c r="I6" i="8"/>
  <c r="H33" i="8" l="1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G17" i="8"/>
  <c r="H16" i="8"/>
  <c r="H15" i="8"/>
  <c r="H14" i="8"/>
  <c r="H13" i="8"/>
  <c r="H12" i="8"/>
  <c r="H11" i="8"/>
  <c r="H10" i="8"/>
  <c r="H9" i="8"/>
  <c r="H8" i="8"/>
  <c r="H7" i="8"/>
  <c r="H6" i="8"/>
  <c r="H3" i="8"/>
  <c r="H5" i="8" l="1"/>
  <c r="H4" i="8"/>
  <c r="H2" i="8"/>
  <c r="AA59" i="3"/>
  <c r="AA53" i="3" s="1"/>
  <c r="AA54" i="3" s="1"/>
  <c r="AF59" i="3"/>
  <c r="AF53" i="3" s="1"/>
  <c r="AF54" i="3" s="1"/>
  <c r="AG19" i="3"/>
  <c r="AG59" i="3" s="1"/>
  <c r="AG53" i="3" s="1"/>
  <c r="AG54" i="3" s="1"/>
  <c r="AE19" i="3"/>
  <c r="AE59" i="3" s="1"/>
  <c r="AE53" i="3" s="1"/>
  <c r="AE54" i="3" s="1"/>
  <c r="AD19" i="3"/>
  <c r="AD59" i="3" s="1"/>
  <c r="AD53" i="3" s="1"/>
  <c r="AD54" i="3" s="1"/>
  <c r="AC19" i="3"/>
  <c r="AC59" i="3" s="1"/>
  <c r="AC53" i="3" s="1"/>
  <c r="AC54" i="3" s="1"/>
  <c r="Q19" i="3"/>
  <c r="Q59" i="3" s="1"/>
  <c r="Q53" i="3" s="1"/>
  <c r="Q54" i="3" s="1"/>
  <c r="Z19" i="3"/>
  <c r="Z59" i="3" s="1"/>
  <c r="Z53" i="3" s="1"/>
  <c r="Z54" i="3" s="1"/>
  <c r="V19" i="3"/>
  <c r="V59" i="3" s="1"/>
  <c r="V53" i="3" s="1"/>
  <c r="V54" i="3" s="1"/>
  <c r="AB19" i="3"/>
  <c r="AB59" i="3" s="1"/>
  <c r="AB53" i="3" s="1"/>
  <c r="AB54" i="3" s="1"/>
  <c r="X19" i="3"/>
  <c r="X59" i="3" s="1"/>
  <c r="X53" i="3" s="1"/>
  <c r="X54" i="3" s="1"/>
  <c r="B59" i="3"/>
  <c r="B53" i="3" s="1"/>
  <c r="B54" i="3" s="1"/>
  <c r="C59" i="3"/>
  <c r="C53" i="3" s="1"/>
  <c r="C54" i="3" s="1"/>
  <c r="D59" i="3"/>
  <c r="D53" i="3" s="1"/>
  <c r="D54" i="3" s="1"/>
  <c r="E59" i="3"/>
  <c r="E53" i="3" s="1"/>
  <c r="E54" i="3" s="1"/>
  <c r="F59" i="3"/>
  <c r="F53" i="3" s="1"/>
  <c r="F54" i="3" s="1"/>
  <c r="G59" i="3"/>
  <c r="G53" i="3" s="1"/>
  <c r="G54" i="3" s="1"/>
  <c r="H59" i="3"/>
  <c r="H53" i="3" s="1"/>
  <c r="H54" i="3" s="1"/>
  <c r="I59" i="3"/>
  <c r="I53" i="3" s="1"/>
  <c r="I54" i="3" s="1"/>
  <c r="J59" i="3"/>
  <c r="J53" i="3" s="1"/>
  <c r="J54" i="3" s="1"/>
  <c r="K59" i="3"/>
  <c r="K53" i="3" s="1"/>
  <c r="K54" i="3" s="1"/>
  <c r="L59" i="3"/>
  <c r="L53" i="3" s="1"/>
  <c r="L54" i="3" s="1"/>
  <c r="M59" i="3"/>
  <c r="M53" i="3" s="1"/>
  <c r="M54" i="3" s="1"/>
  <c r="N59" i="3"/>
  <c r="N53" i="3" s="1"/>
  <c r="N54" i="3" s="1"/>
  <c r="O59" i="3"/>
  <c r="O53" i="3" s="1"/>
  <c r="O54" i="3" s="1"/>
  <c r="P19" i="3"/>
  <c r="P59" i="3" s="1"/>
  <c r="P53" i="3" s="1"/>
  <c r="P54" i="3" s="1"/>
  <c r="T19" i="3"/>
  <c r="T59" i="3" s="1"/>
  <c r="T53" i="3" s="1"/>
  <c r="T54" i="3" s="1"/>
  <c r="W19" i="3"/>
  <c r="W59" i="3" s="1"/>
  <c r="W53" i="3" s="1"/>
  <c r="W54" i="3" s="1"/>
  <c r="S19" i="3"/>
  <c r="S59" i="3" s="1"/>
  <c r="S53" i="3" s="1"/>
  <c r="S54" i="3" s="1"/>
  <c r="R19" i="3"/>
  <c r="R59" i="3" s="1"/>
  <c r="R53" i="3" s="1"/>
  <c r="R54" i="3" s="1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Y19" i="3"/>
  <c r="Y59" i="3" s="1"/>
  <c r="Y53" i="3" s="1"/>
  <c r="Y54" i="3" s="1"/>
  <c r="U19" i="3"/>
  <c r="U59" i="3" s="1"/>
  <c r="U53" i="3" s="1"/>
  <c r="U54" i="3" s="1"/>
  <c r="C48" i="3" l="1"/>
  <c r="C49" i="3"/>
  <c r="I51" i="5" l="1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D52" i="5"/>
  <c r="AD53" i="5" s="1"/>
  <c r="AB58" i="5"/>
  <c r="AB52" i="5" s="1"/>
  <c r="AB53" i="5" s="1"/>
  <c r="AD58" i="5"/>
  <c r="AE58" i="5"/>
  <c r="AE52" i="5" s="1"/>
  <c r="AE53" i="5" s="1"/>
  <c r="V58" i="5"/>
  <c r="V52" i="5" s="1"/>
  <c r="V53" i="5" s="1"/>
  <c r="W58" i="5"/>
  <c r="W52" i="5" s="1"/>
  <c r="W53" i="5" s="1"/>
  <c r="X58" i="5"/>
  <c r="X52" i="5" s="1"/>
  <c r="X53" i="5" s="1"/>
  <c r="Z58" i="5"/>
  <c r="Z52" i="5" s="1"/>
  <c r="Z53" i="5" s="1"/>
  <c r="AA58" i="5"/>
  <c r="AA52" i="5" s="1"/>
  <c r="AA53" i="5" s="1"/>
  <c r="N58" i="5"/>
  <c r="N52" i="5" s="1"/>
  <c r="N53" i="5" s="1"/>
  <c r="O58" i="5"/>
  <c r="O52" i="5" s="1"/>
  <c r="O53" i="5" s="1"/>
  <c r="P58" i="5"/>
  <c r="P52" i="5" s="1"/>
  <c r="P53" i="5" s="1"/>
  <c r="R58" i="5"/>
  <c r="R52" i="5" s="1"/>
  <c r="R53" i="5" s="1"/>
  <c r="S58" i="5"/>
  <c r="S52" i="5" s="1"/>
  <c r="S53" i="5" s="1"/>
  <c r="T58" i="5"/>
  <c r="T52" i="5" s="1"/>
  <c r="T53" i="5" s="1"/>
  <c r="J58" i="5"/>
  <c r="J52" i="5" s="1"/>
  <c r="J53" i="5" s="1"/>
  <c r="K58" i="5"/>
  <c r="K52" i="5" s="1"/>
  <c r="K53" i="5" s="1"/>
  <c r="L58" i="5"/>
  <c r="L52" i="5" s="1"/>
  <c r="L53" i="5" s="1"/>
  <c r="AF18" i="5"/>
  <c r="AF58" i="5" s="1"/>
  <c r="AF52" i="5" s="1"/>
  <c r="AF53" i="5" s="1"/>
  <c r="AC18" i="5"/>
  <c r="AC58" i="5" s="1"/>
  <c r="AC52" i="5" s="1"/>
  <c r="AC53" i="5" s="1"/>
  <c r="U18" i="5"/>
  <c r="U58" i="5" s="1"/>
  <c r="U52" i="5" s="1"/>
  <c r="U53" i="5" s="1"/>
  <c r="M18" i="5"/>
  <c r="M58" i="5" s="1"/>
  <c r="M52" i="5" s="1"/>
  <c r="M53" i="5" s="1"/>
  <c r="I18" i="5"/>
  <c r="I58" i="5" s="1"/>
  <c r="I52" i="5" s="1"/>
  <c r="I53" i="5" s="1"/>
  <c r="E18" i="5"/>
  <c r="Q18" i="5"/>
  <c r="Q58" i="5" s="1"/>
  <c r="Q52" i="5" s="1"/>
  <c r="Q53" i="5" s="1"/>
  <c r="Y18" i="5"/>
  <c r="Y58" i="5" s="1"/>
  <c r="Y52" i="5" s="1"/>
  <c r="Y53" i="5" s="1"/>
  <c r="H51" i="5"/>
  <c r="H58" i="5"/>
  <c r="H52" i="5" s="1"/>
  <c r="H53" i="5" s="1"/>
  <c r="AG18" i="5" l="1"/>
  <c r="AG58" i="5" s="1"/>
  <c r="AG52" i="5" s="1"/>
  <c r="AG53" i="5" s="1"/>
  <c r="G51" i="5"/>
  <c r="G58" i="5"/>
  <c r="G52" i="5" s="1"/>
  <c r="G53" i="5" s="1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B51" i="5"/>
  <c r="B58" i="5"/>
  <c r="B52" i="5" s="1"/>
  <c r="B53" i="5" s="1"/>
  <c r="B49" i="5"/>
  <c r="F51" i="5"/>
  <c r="F58" i="5"/>
  <c r="F52" i="5" s="1"/>
  <c r="F53" i="5" s="1"/>
  <c r="E51" i="5"/>
  <c r="E58" i="5"/>
  <c r="E52" i="5" s="1"/>
  <c r="E53" i="5" s="1"/>
  <c r="D51" i="5"/>
  <c r="D52" i="5"/>
  <c r="D53" i="5" s="1"/>
  <c r="D58" i="5"/>
  <c r="C51" i="5"/>
  <c r="C58" i="5"/>
  <c r="C52" i="5" s="1"/>
  <c r="C53" i="5" s="1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B48" i="5"/>
  <c r="B47" i="5"/>
  <c r="A57" i="5"/>
  <c r="A56" i="5"/>
  <c r="A55" i="5"/>
  <c r="A54" i="5"/>
  <c r="B49" i="3"/>
  <c r="B48" i="3"/>
  <c r="B52" i="3"/>
  <c r="A58" i="3"/>
  <c r="A57" i="3"/>
  <c r="A56" i="3"/>
  <c r="A55" i="3"/>
  <c r="AG24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R58" i="2"/>
  <c r="R52" i="2" s="1"/>
  <c r="R53" i="2" s="1"/>
  <c r="S58" i="2"/>
  <c r="S52" i="2" s="1"/>
  <c r="S53" i="2" s="1"/>
  <c r="AD58" i="2"/>
  <c r="AD52" i="2" s="1"/>
  <c r="AD53" i="2" s="1"/>
  <c r="AF18" i="2"/>
  <c r="AF58" i="2" s="1"/>
  <c r="AF52" i="2" s="1"/>
  <c r="AF53" i="2" s="1"/>
  <c r="AG18" i="2"/>
  <c r="AG58" i="2" s="1"/>
  <c r="AG52" i="2" s="1"/>
  <c r="AG53" i="2" s="1"/>
  <c r="AE18" i="2"/>
  <c r="AE58" i="2" s="1"/>
  <c r="AE52" i="2" s="1"/>
  <c r="AE53" i="2" s="1"/>
  <c r="AD18" i="2"/>
  <c r="AC18" i="2"/>
  <c r="AC58" i="2" s="1"/>
  <c r="AC52" i="2" s="1"/>
  <c r="AC53" i="2" s="1"/>
  <c r="AB18" i="2"/>
  <c r="AB58" i="2" s="1"/>
  <c r="AB52" i="2" s="1"/>
  <c r="AB53" i="2" s="1"/>
  <c r="AA18" i="2"/>
  <c r="AA58" i="2" s="1"/>
  <c r="AA52" i="2" s="1"/>
  <c r="AA53" i="2" s="1"/>
  <c r="Z18" i="2"/>
  <c r="Z58" i="2" s="1"/>
  <c r="Z52" i="2" s="1"/>
  <c r="Z53" i="2" s="1"/>
  <c r="Y18" i="2"/>
  <c r="Y58" i="2" s="1"/>
  <c r="Y52" i="2" s="1"/>
  <c r="Y53" i="2" s="1"/>
  <c r="X18" i="2"/>
  <c r="X58" i="2" s="1"/>
  <c r="X52" i="2" s="1"/>
  <c r="X53" i="2" s="1"/>
  <c r="W18" i="2"/>
  <c r="W58" i="2" s="1"/>
  <c r="W52" i="2" s="1"/>
  <c r="W53" i="2" s="1"/>
  <c r="S18" i="2"/>
  <c r="V18" i="2"/>
  <c r="V58" i="2" s="1"/>
  <c r="V52" i="2" s="1"/>
  <c r="V53" i="2" s="1"/>
  <c r="U18" i="2"/>
  <c r="U58" i="2" s="1"/>
  <c r="U52" i="2" s="1"/>
  <c r="U53" i="2" s="1"/>
  <c r="T18" i="2"/>
  <c r="T58" i="2" s="1"/>
  <c r="T52" i="2" s="1"/>
  <c r="T53" i="2" s="1"/>
  <c r="R18" i="2"/>
  <c r="Q18" i="2"/>
  <c r="Q58" i="2" s="1"/>
  <c r="Q52" i="2" s="1"/>
  <c r="Q53" i="2" s="1"/>
  <c r="P18" i="2"/>
  <c r="P58" i="2" s="1"/>
  <c r="P52" i="2" s="1"/>
  <c r="P53" i="2" s="1"/>
  <c r="O51" i="2"/>
  <c r="O18" i="2"/>
  <c r="O58" i="2" s="1"/>
  <c r="O52" i="2" s="1"/>
  <c r="O53" i="2" s="1"/>
  <c r="N51" i="2"/>
  <c r="N18" i="2"/>
  <c r="N58" i="2" s="1"/>
  <c r="N52" i="2" s="1"/>
  <c r="N53" i="2" s="1"/>
  <c r="M51" i="2"/>
  <c r="M18" i="2"/>
  <c r="M58" i="2" s="1"/>
  <c r="M52" i="2" s="1"/>
  <c r="M53" i="2" s="1"/>
  <c r="L51" i="2"/>
  <c r="L18" i="2"/>
  <c r="L58" i="2" s="1"/>
  <c r="L52" i="2" s="1"/>
  <c r="L53" i="2" s="1"/>
  <c r="K51" i="2"/>
  <c r="K58" i="2"/>
  <c r="K52" i="2" s="1"/>
  <c r="K53" i="2" s="1"/>
  <c r="K18" i="2"/>
  <c r="J51" i="2"/>
  <c r="J18" i="2" l="1"/>
  <c r="J58" i="2" s="1"/>
  <c r="J52" i="2" s="1"/>
  <c r="J53" i="2" s="1"/>
  <c r="H51" i="2"/>
  <c r="I51" i="2"/>
  <c r="I18" i="2"/>
  <c r="I58" i="2" s="1"/>
  <c r="I52" i="2" s="1"/>
  <c r="I53" i="2" s="1"/>
  <c r="E18" i="2"/>
  <c r="H18" i="2"/>
  <c r="H58" i="2" s="1"/>
  <c r="H52" i="2" s="1"/>
  <c r="H53" i="2" s="1"/>
  <c r="D18" i="2"/>
  <c r="D58" i="2" s="1"/>
  <c r="D52" i="2" s="1"/>
  <c r="D53" i="2" s="1"/>
  <c r="C18" i="2"/>
  <c r="C58" i="2" s="1"/>
  <c r="C52" i="2" s="1"/>
  <c r="C53" i="2" s="1"/>
  <c r="B18" i="2"/>
  <c r="B51" i="2"/>
  <c r="C51" i="2"/>
  <c r="D51" i="2"/>
  <c r="E51" i="2"/>
  <c r="G51" i="2"/>
  <c r="G58" i="2"/>
  <c r="G52" i="2" s="1"/>
  <c r="G53" i="2" s="1"/>
  <c r="G18" i="2"/>
  <c r="F51" i="2"/>
  <c r="E58" i="2"/>
  <c r="E52" i="2" s="1"/>
  <c r="E53" i="2" s="1"/>
  <c r="F18" i="2"/>
  <c r="F58" i="2" s="1"/>
  <c r="F52" i="2" s="1"/>
  <c r="F53" i="2" s="1"/>
  <c r="B58" i="2"/>
  <c r="B52" i="2" s="1"/>
  <c r="B53" i="2" s="1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C48" i="2"/>
  <c r="D48" i="2"/>
  <c r="E48" i="2"/>
  <c r="F48" i="2"/>
  <c r="B48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B47" i="2"/>
  <c r="A57" i="2"/>
  <c r="A56" i="2"/>
  <c r="A55" i="2"/>
  <c r="A54" i="2"/>
  <c r="R52" i="1"/>
  <c r="R53" i="1" s="1"/>
  <c r="V18" i="8" s="1"/>
  <c r="V52" i="1"/>
  <c r="V53" i="1" s="1"/>
  <c r="V22" i="8" s="1"/>
  <c r="Y52" i="1"/>
  <c r="Y53" i="1" s="1"/>
  <c r="V25" i="8" s="1"/>
  <c r="AC52" i="1"/>
  <c r="AC53" i="1" s="1"/>
  <c r="V29" i="8" s="1"/>
  <c r="AC58" i="1"/>
  <c r="AD58" i="1"/>
  <c r="AD52" i="1" s="1"/>
  <c r="AD53" i="1" s="1"/>
  <c r="V30" i="8" s="1"/>
  <c r="AE58" i="1"/>
  <c r="AE52" i="1" s="1"/>
  <c r="AE53" i="1" s="1"/>
  <c r="V32" i="8" s="1"/>
  <c r="AF58" i="1"/>
  <c r="AF52" i="1" s="1"/>
  <c r="AF53" i="1" s="1"/>
  <c r="V31" i="8" s="1"/>
  <c r="AG58" i="1"/>
  <c r="AG52" i="1" s="1"/>
  <c r="AG53" i="1" s="1"/>
  <c r="V33" i="8" s="1"/>
  <c r="X58" i="1"/>
  <c r="X52" i="1" s="1"/>
  <c r="X53" i="1" s="1"/>
  <c r="V24" i="8" s="1"/>
  <c r="Y58" i="1"/>
  <c r="Z58" i="1"/>
  <c r="Z52" i="1" s="1"/>
  <c r="Z53" i="1" s="1"/>
  <c r="V26" i="8" s="1"/>
  <c r="AA58" i="1"/>
  <c r="AA52" i="1" s="1"/>
  <c r="AA53" i="1" s="1"/>
  <c r="V27" i="8" s="1"/>
  <c r="AB58" i="1"/>
  <c r="AB52" i="1" s="1"/>
  <c r="AB53" i="1" s="1"/>
  <c r="V28" i="8" s="1"/>
  <c r="R58" i="1"/>
  <c r="S58" i="1"/>
  <c r="S52" i="1" s="1"/>
  <c r="S53" i="1" s="1"/>
  <c r="V19" i="8" s="1"/>
  <c r="T58" i="1"/>
  <c r="T52" i="1" s="1"/>
  <c r="T53" i="1" s="1"/>
  <c r="V20" i="8" s="1"/>
  <c r="U58" i="1"/>
  <c r="U52" i="1" s="1"/>
  <c r="U53" i="1" s="1"/>
  <c r="V21" i="8" s="1"/>
  <c r="V58" i="1"/>
  <c r="W58" i="1"/>
  <c r="W52" i="1" s="1"/>
  <c r="W53" i="1" s="1"/>
  <c r="V23" i="8" s="1"/>
  <c r="M58" i="1" l="1"/>
  <c r="M52" i="1" s="1"/>
  <c r="M53" i="1" s="1"/>
  <c r="V13" i="8" s="1"/>
  <c r="N58" i="1"/>
  <c r="N52" i="1" s="1"/>
  <c r="N53" i="1" s="1"/>
  <c r="V14" i="8" s="1"/>
  <c r="I58" i="1"/>
  <c r="I52" i="1" s="1"/>
  <c r="I53" i="1" s="1"/>
  <c r="V9" i="8" s="1"/>
  <c r="J58" i="1"/>
  <c r="J52" i="1" s="1"/>
  <c r="J53" i="1" s="1"/>
  <c r="V10" i="8" s="1"/>
  <c r="K58" i="1"/>
  <c r="K52" i="1" s="1"/>
  <c r="K53" i="1" s="1"/>
  <c r="V11" i="8" s="1"/>
  <c r="L58" i="1"/>
  <c r="L52" i="1" s="1"/>
  <c r="L53" i="1" s="1"/>
  <c r="V12" i="8" s="1"/>
  <c r="P58" i="1"/>
  <c r="P52" i="1" s="1"/>
  <c r="P53" i="1" s="1"/>
  <c r="V16" i="8" s="1"/>
  <c r="Q58" i="1"/>
  <c r="Q52" i="1" s="1"/>
  <c r="Q53" i="1" s="1"/>
  <c r="V17" i="8" s="1"/>
  <c r="I51" i="1"/>
  <c r="W9" i="8" s="1"/>
  <c r="J51" i="1"/>
  <c r="W10" i="8" s="1"/>
  <c r="K51" i="1"/>
  <c r="W11" i="8" s="1"/>
  <c r="L51" i="1"/>
  <c r="W12" i="8" s="1"/>
  <c r="M51" i="1"/>
  <c r="W13" i="8" s="1"/>
  <c r="N51" i="1"/>
  <c r="W14" i="8" s="1"/>
  <c r="O51" i="1"/>
  <c r="W15" i="8" s="1"/>
  <c r="P51" i="1"/>
  <c r="W16" i="8" s="1"/>
  <c r="Q51" i="1"/>
  <c r="W17" i="8" s="1"/>
  <c r="R51" i="1"/>
  <c r="S51" i="1"/>
  <c r="W19" i="8" s="1"/>
  <c r="T51" i="1"/>
  <c r="W20" i="8" s="1"/>
  <c r="U51" i="1"/>
  <c r="W21" i="8" s="1"/>
  <c r="V51" i="1"/>
  <c r="W22" i="8" s="1"/>
  <c r="W51" i="1"/>
  <c r="W23" i="8" s="1"/>
  <c r="X51" i="1"/>
  <c r="W24" i="8" s="1"/>
  <c r="Y51" i="1"/>
  <c r="W25" i="8" s="1"/>
  <c r="Z51" i="1"/>
  <c r="W26" i="8" s="1"/>
  <c r="AA51" i="1"/>
  <c r="W27" i="8" s="1"/>
  <c r="AB51" i="1"/>
  <c r="W28" i="8" s="1"/>
  <c r="AC51" i="1"/>
  <c r="W29" i="8" s="1"/>
  <c r="AD51" i="1"/>
  <c r="W30" i="8" s="1"/>
  <c r="AE51" i="1"/>
  <c r="W32" i="8" s="1"/>
  <c r="AF51" i="1"/>
  <c r="W31" i="8" s="1"/>
  <c r="AG51" i="1"/>
  <c r="W33" i="8" s="1"/>
  <c r="H58" i="1"/>
  <c r="H52" i="1" s="1"/>
  <c r="H53" i="1" s="1"/>
  <c r="V8" i="8" s="1"/>
  <c r="H51" i="1"/>
  <c r="W8" i="8" s="1"/>
  <c r="G58" i="1"/>
  <c r="G52" i="1" s="1"/>
  <c r="G53" i="1" s="1"/>
  <c r="V7" i="8" s="1"/>
  <c r="F58" i="1"/>
  <c r="F52" i="1" s="1"/>
  <c r="F53" i="1" s="1"/>
  <c r="V6" i="8" s="1"/>
  <c r="D52" i="1"/>
  <c r="D58" i="1"/>
  <c r="E58" i="1"/>
  <c r="E52" i="1" s="1"/>
  <c r="E53" i="1" s="1"/>
  <c r="V5" i="8" s="1"/>
  <c r="C52" i="1"/>
  <c r="C53" i="1" s="1"/>
  <c r="V3" i="8" s="1"/>
  <c r="C58" i="1"/>
  <c r="B58" i="1"/>
  <c r="B52" i="1" s="1"/>
  <c r="B53" i="1" s="1"/>
  <c r="V2" i="8" s="1"/>
  <c r="O58" i="1"/>
  <c r="O52" i="1" s="1"/>
  <c r="O53" i="1" s="1"/>
  <c r="V15" i="8" s="1"/>
  <c r="G51" i="1"/>
  <c r="W7" i="8" s="1"/>
  <c r="G47" i="1"/>
  <c r="F51" i="1"/>
  <c r="W6" i="8" s="1"/>
  <c r="E51" i="1"/>
  <c r="W5" i="8" s="1"/>
  <c r="A57" i="1"/>
  <c r="A55" i="1"/>
  <c r="A56" i="1"/>
  <c r="A54" i="1"/>
  <c r="D51" i="1"/>
  <c r="W4" i="8" s="1"/>
  <c r="D53" i="1"/>
  <c r="V4" i="8" s="1"/>
  <c r="C51" i="1"/>
  <c r="W3" i="8" s="1"/>
  <c r="B51" i="1"/>
  <c r="W18" i="8" l="1"/>
  <c r="W2" i="8"/>
  <c r="G15" i="8"/>
  <c r="I33" i="8" l="1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U24" i="2"/>
  <c r="E21" i="9" s="1"/>
  <c r="F21" i="9" s="1"/>
  <c r="S21" i="8" s="1"/>
  <c r="V24" i="2"/>
  <c r="W24" i="2"/>
  <c r="X24" i="2"/>
  <c r="E24" i="9" s="1"/>
  <c r="F24" i="9" s="1"/>
  <c r="S24" i="8" s="1"/>
  <c r="Y24" i="2"/>
  <c r="E25" i="9" s="1"/>
  <c r="F25" i="9" s="1"/>
  <c r="S25" i="8" s="1"/>
  <c r="Z24" i="2"/>
  <c r="AA24" i="2"/>
  <c r="AB24" i="2"/>
  <c r="E28" i="9" s="1"/>
  <c r="AC24" i="2"/>
  <c r="E29" i="9" s="1"/>
  <c r="F29" i="9" s="1"/>
  <c r="S29" i="8" s="1"/>
  <c r="AD24" i="2"/>
  <c r="AE24" i="2"/>
  <c r="AF24" i="2"/>
  <c r="E32" i="9" s="1"/>
  <c r="F33" i="8"/>
  <c r="J33" i="8" s="1"/>
  <c r="F32" i="8"/>
  <c r="J32" i="8" s="1"/>
  <c r="F31" i="8"/>
  <c r="J31" i="8" s="1"/>
  <c r="F30" i="8"/>
  <c r="J30" i="8" s="1"/>
  <c r="F29" i="8"/>
  <c r="J29" i="8" s="1"/>
  <c r="F28" i="8"/>
  <c r="J28" i="8" s="1"/>
  <c r="F27" i="8"/>
  <c r="J27" i="8" s="1"/>
  <c r="F26" i="8"/>
  <c r="J26" i="8" s="1"/>
  <c r="F25" i="8"/>
  <c r="J25" i="8" s="1"/>
  <c r="F24" i="8"/>
  <c r="J24" i="8" s="1"/>
  <c r="F23" i="8"/>
  <c r="J23" i="8" s="1"/>
  <c r="F22" i="8"/>
  <c r="J22" i="8" s="1"/>
  <c r="F21" i="8"/>
  <c r="J21" i="8" s="1"/>
  <c r="F20" i="8"/>
  <c r="J20" i="8" s="1"/>
  <c r="F19" i="8"/>
  <c r="J19" i="8" s="1"/>
  <c r="F18" i="8"/>
  <c r="J18" i="8" s="1"/>
  <c r="F17" i="8"/>
  <c r="J17" i="8" s="1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I16" i="8"/>
  <c r="I15" i="8"/>
  <c r="I14" i="8"/>
  <c r="G16" i="8"/>
  <c r="G14" i="8"/>
  <c r="I13" i="8"/>
  <c r="G13" i="8"/>
  <c r="I12" i="8"/>
  <c r="G12" i="8"/>
  <c r="I11" i="8"/>
  <c r="G11" i="8"/>
  <c r="F11" i="8"/>
  <c r="J11" i="8" s="1"/>
  <c r="E11" i="8"/>
  <c r="I10" i="8"/>
  <c r="G10" i="8"/>
  <c r="F10" i="8"/>
  <c r="J10" i="8" s="1"/>
  <c r="E10" i="8"/>
  <c r="E33" i="9"/>
  <c r="F33" i="9" s="1"/>
  <c r="S33" i="8" s="1"/>
  <c r="E31" i="9"/>
  <c r="F31" i="9" s="1"/>
  <c r="S31" i="8" s="1"/>
  <c r="E30" i="9"/>
  <c r="F30" i="9" s="1"/>
  <c r="S30" i="8" s="1"/>
  <c r="E27" i="9"/>
  <c r="F27" i="9" s="1"/>
  <c r="S27" i="8" s="1"/>
  <c r="E26" i="9"/>
  <c r="F26" i="9" s="1"/>
  <c r="S26" i="8" s="1"/>
  <c r="E23" i="9"/>
  <c r="F23" i="9" s="1"/>
  <c r="S23" i="8" s="1"/>
  <c r="E22" i="9"/>
  <c r="F22" i="9" s="1"/>
  <c r="S22" i="8" s="1"/>
  <c r="G31" i="9"/>
  <c r="D36" i="9"/>
  <c r="D32" i="9" s="1"/>
  <c r="G30" i="9"/>
  <c r="D28" i="9"/>
  <c r="G28" i="9" s="1"/>
  <c r="G27" i="9"/>
  <c r="G26" i="9"/>
  <c r="G25" i="9"/>
  <c r="G24" i="9"/>
  <c r="G23" i="9"/>
  <c r="G22" i="9"/>
  <c r="G19" i="9"/>
  <c r="G20" i="9"/>
  <c r="G21" i="9"/>
  <c r="G14" i="9"/>
  <c r="G15" i="9"/>
  <c r="G16" i="9"/>
  <c r="G17" i="9"/>
  <c r="G18" i="9"/>
  <c r="F16" i="8"/>
  <c r="J16" i="8" s="1"/>
  <c r="F15" i="8"/>
  <c r="J15" i="8" s="1"/>
  <c r="F14" i="8"/>
  <c r="J14" i="8" s="1"/>
  <c r="F13" i="8"/>
  <c r="J13" i="8" s="1"/>
  <c r="F12" i="8"/>
  <c r="J12" i="8" s="1"/>
  <c r="E16" i="8"/>
  <c r="E15" i="8"/>
  <c r="E14" i="8"/>
  <c r="E13" i="8"/>
  <c r="E12" i="8"/>
  <c r="F32" i="9" l="1"/>
  <c r="S32" i="8" s="1"/>
  <c r="F28" i="9"/>
  <c r="S28" i="8" s="1"/>
  <c r="U10" i="8"/>
  <c r="U11" i="8"/>
  <c r="T17" i="8"/>
  <c r="T21" i="8"/>
  <c r="T25" i="8"/>
  <c r="T29" i="8"/>
  <c r="T33" i="8"/>
  <c r="T32" i="8"/>
  <c r="T10" i="8"/>
  <c r="T11" i="8"/>
  <c r="U13" i="8"/>
  <c r="U12" i="8"/>
  <c r="T18" i="8"/>
  <c r="T22" i="8"/>
  <c r="T26" i="8"/>
  <c r="T30" i="8"/>
  <c r="U19" i="8"/>
  <c r="U23" i="8"/>
  <c r="U27" i="8"/>
  <c r="U31" i="8"/>
  <c r="U26" i="8"/>
  <c r="U16" i="8"/>
  <c r="U20" i="8"/>
  <c r="U24" i="8"/>
  <c r="U28" i="8"/>
  <c r="U32" i="8"/>
  <c r="U22" i="8"/>
  <c r="T28" i="8"/>
  <c r="U18" i="8"/>
  <c r="T24" i="8"/>
  <c r="U30" i="8"/>
  <c r="T20" i="8"/>
  <c r="G32" i="9"/>
  <c r="G33" i="9"/>
  <c r="G29" i="9"/>
  <c r="U33" i="8"/>
  <c r="U29" i="8"/>
  <c r="U25" i="8"/>
  <c r="U21" i="8"/>
  <c r="U17" i="8"/>
  <c r="T31" i="8"/>
  <c r="T27" i="8"/>
  <c r="T23" i="8"/>
  <c r="T19" i="8"/>
  <c r="T14" i="8"/>
  <c r="T12" i="8"/>
  <c r="T16" i="8"/>
  <c r="T15" i="8"/>
  <c r="U15" i="8"/>
  <c r="U14" i="8"/>
  <c r="T13" i="8"/>
  <c r="Q24" i="2" l="1"/>
  <c r="E17" i="9" s="1"/>
  <c r="F17" i="9" s="1"/>
  <c r="S17" i="8" s="1"/>
  <c r="R24" i="2"/>
  <c r="E18" i="9" s="1"/>
  <c r="F18" i="9" s="1"/>
  <c r="S18" i="8" s="1"/>
  <c r="S24" i="2"/>
  <c r="E19" i="9" s="1"/>
  <c r="F19" i="9" s="1"/>
  <c r="S19" i="8" s="1"/>
  <c r="T24" i="2"/>
  <c r="E20" i="9" s="1"/>
  <c r="F20" i="9" s="1"/>
  <c r="S20" i="8" s="1"/>
  <c r="P24" i="2"/>
  <c r="E16" i="9" s="1"/>
  <c r="F16" i="9" s="1"/>
  <c r="S16" i="8" s="1"/>
  <c r="O24" i="2"/>
  <c r="E15" i="9" s="1"/>
  <c r="F15" i="9" s="1"/>
  <c r="S15" i="8" s="1"/>
  <c r="N24" i="2"/>
  <c r="E14" i="9" s="1"/>
  <c r="F14" i="9" s="1"/>
  <c r="S14" i="8" s="1"/>
  <c r="G4" i="9" l="1"/>
  <c r="G5" i="9"/>
  <c r="G6" i="9"/>
  <c r="G7" i="9"/>
  <c r="G8" i="9"/>
  <c r="G9" i="9"/>
  <c r="G12" i="9"/>
  <c r="G13" i="9"/>
  <c r="G3" i="9"/>
  <c r="G9" i="8"/>
  <c r="G8" i="8"/>
  <c r="G7" i="8"/>
  <c r="G6" i="8"/>
  <c r="F9" i="8"/>
  <c r="J9" i="8" s="1"/>
  <c r="F8" i="8"/>
  <c r="J8" i="8" s="1"/>
  <c r="F7" i="8"/>
  <c r="J7" i="8" s="1"/>
  <c r="F6" i="8"/>
  <c r="J6" i="8" s="1"/>
  <c r="F2" i="8"/>
  <c r="J2" i="8" s="1"/>
  <c r="F5" i="8"/>
  <c r="J5" i="8" s="1"/>
  <c r="E9" i="8"/>
  <c r="E8" i="8"/>
  <c r="E7" i="8"/>
  <c r="E6" i="8"/>
  <c r="I5" i="8"/>
  <c r="I4" i="8"/>
  <c r="I3" i="8"/>
  <c r="G5" i="8"/>
  <c r="G4" i="8"/>
  <c r="G3" i="8"/>
  <c r="F4" i="8"/>
  <c r="J4" i="8" s="1"/>
  <c r="F3" i="8"/>
  <c r="J3" i="8" s="1"/>
  <c r="G2" i="8"/>
  <c r="E5" i="8"/>
  <c r="E4" i="8"/>
  <c r="E3" i="8"/>
  <c r="E2" i="9"/>
  <c r="F2" i="9" s="1"/>
  <c r="S2" i="8" s="1"/>
  <c r="E3" i="9"/>
  <c r="F3" i="9" s="1"/>
  <c r="S3" i="8" s="1"/>
  <c r="E4" i="9"/>
  <c r="F4" i="9" s="1"/>
  <c r="S4" i="8" s="1"/>
  <c r="E5" i="9"/>
  <c r="F5" i="9" s="1"/>
  <c r="S5" i="8" s="1"/>
  <c r="I2" i="8"/>
  <c r="E2" i="8"/>
  <c r="B3" i="9"/>
  <c r="B4" i="9" s="1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E6" i="9"/>
  <c r="T8" i="8" l="1"/>
  <c r="U4" i="8"/>
  <c r="T7" i="8"/>
  <c r="U9" i="8"/>
  <c r="T3" i="8"/>
  <c r="U6" i="8"/>
  <c r="T9" i="8"/>
  <c r="T6" i="8"/>
  <c r="T4" i="8"/>
  <c r="U7" i="8"/>
  <c r="U8" i="8"/>
  <c r="U3" i="8"/>
  <c r="U5" i="8"/>
  <c r="T5" i="8"/>
  <c r="U2" i="8"/>
  <c r="T2" i="8"/>
  <c r="A13" i="8"/>
  <c r="A12" i="8"/>
  <c r="A7" i="8"/>
  <c r="A8" i="8"/>
  <c r="A9" i="8"/>
  <c r="A10" i="8"/>
  <c r="A11" i="8"/>
  <c r="A6" i="8"/>
  <c r="F6" i="9"/>
  <c r="S6" i="8" s="1"/>
  <c r="E7" i="9"/>
  <c r="F7" i="9" s="1"/>
  <c r="S7" i="8" s="1"/>
  <c r="E8" i="9"/>
  <c r="F8" i="9" s="1"/>
  <c r="S8" i="8" s="1"/>
  <c r="E9" i="9"/>
  <c r="F9" i="9" s="1"/>
  <c r="S9" i="8" s="1"/>
  <c r="E10" i="9"/>
  <c r="E11" i="9"/>
  <c r="F11" i="9" s="1"/>
  <c r="S11" i="8" s="1"/>
  <c r="D10" i="9"/>
  <c r="E12" i="9"/>
  <c r="F12" i="9" s="1"/>
  <c r="S12" i="8" s="1"/>
  <c r="E13" i="9"/>
  <c r="F13" i="9" s="1"/>
  <c r="S13" i="8" s="1"/>
  <c r="C1" i="9"/>
  <c r="F10" i="9" l="1"/>
  <c r="S10" i="8" s="1"/>
  <c r="G11" i="9"/>
  <c r="G10" i="9"/>
  <c r="F34" i="9" s="1"/>
  <c r="H47" i="1" l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C47" i="1"/>
  <c r="D47" i="1"/>
  <c r="E47" i="1"/>
  <c r="F47" i="1"/>
  <c r="C48" i="1"/>
  <c r="D48" i="1"/>
  <c r="E48" i="1"/>
  <c r="F48" i="1"/>
  <c r="B48" i="1"/>
  <c r="B47" i="1"/>
  <c r="A2" i="8"/>
  <c r="C42" i="5" l="1"/>
  <c r="D42" i="5"/>
  <c r="E42" i="5"/>
  <c r="F42" i="5"/>
  <c r="G42" i="5"/>
  <c r="H42" i="5"/>
  <c r="I42" i="5"/>
  <c r="J42" i="5"/>
  <c r="K42" i="5"/>
  <c r="L42" i="5"/>
  <c r="L50" i="5" s="1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B42" i="5"/>
  <c r="C43" i="3"/>
  <c r="D43" i="3"/>
  <c r="E43" i="3"/>
  <c r="E45" i="3" s="1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U45" i="3" s="1"/>
  <c r="V43" i="3"/>
  <c r="W43" i="3"/>
  <c r="X43" i="3"/>
  <c r="Y43" i="3"/>
  <c r="Z43" i="3"/>
  <c r="AA43" i="3"/>
  <c r="AB43" i="3"/>
  <c r="AC43" i="3"/>
  <c r="AD43" i="3"/>
  <c r="AE43" i="3"/>
  <c r="AF43" i="3"/>
  <c r="AG43" i="3"/>
  <c r="H44" i="3"/>
  <c r="O44" i="3"/>
  <c r="P44" i="3"/>
  <c r="X44" i="3"/>
  <c r="AE44" i="3"/>
  <c r="D45" i="3"/>
  <c r="L45" i="3"/>
  <c r="T45" i="3"/>
  <c r="AB45" i="3"/>
  <c r="D46" i="3"/>
  <c r="E46" i="3"/>
  <c r="L46" i="3"/>
  <c r="T46" i="3"/>
  <c r="U46" i="3"/>
  <c r="AB46" i="3"/>
  <c r="B43" i="3"/>
  <c r="C42" i="1"/>
  <c r="D42" i="1"/>
  <c r="D50" i="1" s="1"/>
  <c r="E42" i="1"/>
  <c r="E50" i="1" s="1"/>
  <c r="F42" i="1"/>
  <c r="F50" i="1" s="1"/>
  <c r="G42" i="1"/>
  <c r="H42" i="1"/>
  <c r="H50" i="1" s="1"/>
  <c r="I42" i="1"/>
  <c r="I50" i="1" s="1"/>
  <c r="J42" i="1"/>
  <c r="J50" i="1" s="1"/>
  <c r="K42" i="1"/>
  <c r="K50" i="1" s="1"/>
  <c r="L42" i="1"/>
  <c r="L50" i="1" s="1"/>
  <c r="M42" i="1"/>
  <c r="M50" i="1" s="1"/>
  <c r="N42" i="1"/>
  <c r="O42" i="1"/>
  <c r="P42" i="1"/>
  <c r="P50" i="1" s="1"/>
  <c r="Q42" i="1"/>
  <c r="Q50" i="1" s="1"/>
  <c r="R42" i="1"/>
  <c r="R50" i="1" s="1"/>
  <c r="S42" i="1"/>
  <c r="S50" i="1" s="1"/>
  <c r="T42" i="1"/>
  <c r="T50" i="1" s="1"/>
  <c r="U42" i="1"/>
  <c r="U50" i="1" s="1"/>
  <c r="V42" i="1"/>
  <c r="W42" i="1"/>
  <c r="X42" i="1"/>
  <c r="Y42" i="1"/>
  <c r="Y50" i="1" s="1"/>
  <c r="Z42" i="1"/>
  <c r="AA42" i="1"/>
  <c r="AA43" i="1" s="1"/>
  <c r="AB42" i="1"/>
  <c r="AC42" i="1"/>
  <c r="AC50" i="1" s="1"/>
  <c r="AD42" i="1"/>
  <c r="AE42" i="1"/>
  <c r="AF42" i="1"/>
  <c r="AG42" i="1"/>
  <c r="AG50" i="1" s="1"/>
  <c r="B42" i="1"/>
  <c r="B50" i="1" s="1"/>
  <c r="C42" i="2"/>
  <c r="D42" i="2"/>
  <c r="D44" i="2" s="1"/>
  <c r="E42" i="2"/>
  <c r="E50" i="2" s="1"/>
  <c r="F42" i="2"/>
  <c r="G42" i="2"/>
  <c r="H42" i="2"/>
  <c r="I42" i="2"/>
  <c r="I50" i="2" s="1"/>
  <c r="J42" i="2"/>
  <c r="K42" i="2"/>
  <c r="L42" i="2"/>
  <c r="L44" i="2" s="1"/>
  <c r="M42" i="2"/>
  <c r="M43" i="2" s="1"/>
  <c r="N42" i="2"/>
  <c r="N50" i="2" s="1"/>
  <c r="O42" i="2"/>
  <c r="O50" i="2" s="1"/>
  <c r="P42" i="2"/>
  <c r="P50" i="2" s="1"/>
  <c r="Q42" i="2"/>
  <c r="Q50" i="2" s="1"/>
  <c r="R42" i="2"/>
  <c r="S42" i="2"/>
  <c r="T42" i="2"/>
  <c r="U42" i="2"/>
  <c r="U50" i="2" s="1"/>
  <c r="V42" i="2"/>
  <c r="V50" i="2" s="1"/>
  <c r="W42" i="2"/>
  <c r="W50" i="2" s="1"/>
  <c r="X42" i="2"/>
  <c r="X50" i="2" s="1"/>
  <c r="Y42" i="2"/>
  <c r="Y50" i="2" s="1"/>
  <c r="Z42" i="2"/>
  <c r="Z50" i="2" s="1"/>
  <c r="AA42" i="2"/>
  <c r="AA50" i="2" s="1"/>
  <c r="AB42" i="2"/>
  <c r="AB50" i="2" s="1"/>
  <c r="AC42" i="2"/>
  <c r="AD42" i="2"/>
  <c r="AD50" i="2" s="1"/>
  <c r="AE42" i="2"/>
  <c r="AE50" i="2" s="1"/>
  <c r="AF42" i="2"/>
  <c r="AF50" i="2" s="1"/>
  <c r="AG42" i="2"/>
  <c r="AG50" i="2" s="1"/>
  <c r="Q43" i="2"/>
  <c r="H44" i="2"/>
  <c r="T44" i="2"/>
  <c r="AB44" i="2"/>
  <c r="AC44" i="2"/>
  <c r="M45" i="2"/>
  <c r="B42" i="2"/>
  <c r="Y43" i="1"/>
  <c r="W44" i="1"/>
  <c r="Y44" i="1"/>
  <c r="AC45" i="1"/>
  <c r="H43" i="1"/>
  <c r="P43" i="1"/>
  <c r="D44" i="1"/>
  <c r="L44" i="1"/>
  <c r="T44" i="1"/>
  <c r="H45" i="1"/>
  <c r="K45" i="1"/>
  <c r="L45" i="1"/>
  <c r="M45" i="1"/>
  <c r="P45" i="1"/>
  <c r="T45" i="1"/>
  <c r="U45" i="1"/>
  <c r="V41" i="1"/>
  <c r="H46" i="1" l="1"/>
  <c r="AG61" i="2"/>
  <c r="AG60" i="2"/>
  <c r="U61" i="2"/>
  <c r="U60" i="2"/>
  <c r="E60" i="2"/>
  <c r="E61" i="2"/>
  <c r="AC61" i="1"/>
  <c r="AC60" i="1"/>
  <c r="U61" i="1"/>
  <c r="U60" i="1"/>
  <c r="Q61" i="1"/>
  <c r="Q60" i="1"/>
  <c r="I61" i="1"/>
  <c r="I60" i="1"/>
  <c r="E45" i="1"/>
  <c r="E46" i="1" s="1"/>
  <c r="I44" i="1"/>
  <c r="M43" i="1"/>
  <c r="E43" i="1"/>
  <c r="I45" i="2"/>
  <c r="Q44" i="2"/>
  <c r="AF61" i="2"/>
  <c r="AF60" i="2"/>
  <c r="X61" i="2"/>
  <c r="X60" i="2"/>
  <c r="P61" i="2"/>
  <c r="P60" i="2"/>
  <c r="T60" i="1"/>
  <c r="T61" i="1"/>
  <c r="P60" i="1"/>
  <c r="P61" i="1"/>
  <c r="L60" i="1"/>
  <c r="L61" i="1"/>
  <c r="H60" i="1"/>
  <c r="H61" i="1"/>
  <c r="D60" i="1"/>
  <c r="D61" i="1"/>
  <c r="B43" i="1"/>
  <c r="Q45" i="1"/>
  <c r="D45" i="1"/>
  <c r="D46" i="1" s="1"/>
  <c r="P44" i="1"/>
  <c r="P46" i="1" s="1"/>
  <c r="H44" i="1"/>
  <c r="T43" i="1"/>
  <c r="T46" i="1" s="1"/>
  <c r="L43" i="1"/>
  <c r="L46" i="1" s="1"/>
  <c r="D43" i="1"/>
  <c r="AG44" i="1"/>
  <c r="AG43" i="1"/>
  <c r="Y45" i="2"/>
  <c r="E45" i="2"/>
  <c r="Y44" i="2"/>
  <c r="I43" i="2"/>
  <c r="I46" i="2" s="1"/>
  <c r="AE61" i="2"/>
  <c r="AE60" i="2"/>
  <c r="AA61" i="2"/>
  <c r="AA60" i="2"/>
  <c r="W61" i="2"/>
  <c r="W60" i="2"/>
  <c r="O61" i="2"/>
  <c r="O60" i="2"/>
  <c r="S61" i="1"/>
  <c r="S60" i="1"/>
  <c r="K61" i="1"/>
  <c r="K60" i="1"/>
  <c r="Y61" i="2"/>
  <c r="Y60" i="2"/>
  <c r="Q61" i="2"/>
  <c r="Q60" i="2"/>
  <c r="I60" i="2"/>
  <c r="I61" i="2"/>
  <c r="AG61" i="1"/>
  <c r="AG60" i="1"/>
  <c r="Y61" i="1"/>
  <c r="Y60" i="1"/>
  <c r="M61" i="1"/>
  <c r="M60" i="1"/>
  <c r="E60" i="1"/>
  <c r="E61" i="1"/>
  <c r="Q44" i="1"/>
  <c r="U43" i="1"/>
  <c r="U46" i="1" s="1"/>
  <c r="Y45" i="1"/>
  <c r="E44" i="2"/>
  <c r="AB61" i="2"/>
  <c r="AB60" i="2"/>
  <c r="I45" i="1"/>
  <c r="U44" i="1"/>
  <c r="M44" i="1"/>
  <c r="E44" i="1"/>
  <c r="Q43" i="1"/>
  <c r="I43" i="1"/>
  <c r="AG45" i="1"/>
  <c r="AC44" i="1"/>
  <c r="AC43" i="1"/>
  <c r="AC46" i="1" s="1"/>
  <c r="Q45" i="2"/>
  <c r="AF44" i="2"/>
  <c r="X44" i="2"/>
  <c r="I44" i="2"/>
  <c r="Y43" i="2"/>
  <c r="E43" i="2"/>
  <c r="AD61" i="2"/>
  <c r="AD60" i="2"/>
  <c r="Z61" i="2"/>
  <c r="Z60" i="2"/>
  <c r="V61" i="2"/>
  <c r="V60" i="2"/>
  <c r="N61" i="2"/>
  <c r="N60" i="2"/>
  <c r="B61" i="1"/>
  <c r="B60" i="1"/>
  <c r="R61" i="1"/>
  <c r="R60" i="1"/>
  <c r="J61" i="1"/>
  <c r="J60" i="1"/>
  <c r="F61" i="1"/>
  <c r="F60" i="1"/>
  <c r="L60" i="5"/>
  <c r="L61" i="5"/>
  <c r="AA55" i="2"/>
  <c r="AA56" i="2"/>
  <c r="AA54" i="2"/>
  <c r="S44" i="2"/>
  <c r="S46" i="2" s="1"/>
  <c r="S50" i="2"/>
  <c r="K44" i="2"/>
  <c r="K50" i="2"/>
  <c r="AE43" i="1"/>
  <c r="AE50" i="1"/>
  <c r="W43" i="1"/>
  <c r="W50" i="1"/>
  <c r="O43" i="1"/>
  <c r="O50" i="1"/>
  <c r="C45" i="1"/>
  <c r="C50" i="1"/>
  <c r="AC44" i="3"/>
  <c r="AC47" i="3" s="1"/>
  <c r="AC51" i="3"/>
  <c r="Q45" i="3"/>
  <c r="Q51" i="3"/>
  <c r="I45" i="3"/>
  <c r="I51" i="3"/>
  <c r="C43" i="1"/>
  <c r="W45" i="2"/>
  <c r="O44" i="2"/>
  <c r="AF55" i="2"/>
  <c r="AF56" i="2"/>
  <c r="AF54" i="2"/>
  <c r="AB55" i="2"/>
  <c r="AB56" i="2"/>
  <c r="AB54" i="2"/>
  <c r="AB57" i="2" s="1"/>
  <c r="X55" i="2"/>
  <c r="X56" i="2"/>
  <c r="X54" i="2"/>
  <c r="X57" i="2" s="1"/>
  <c r="T43" i="2"/>
  <c r="T50" i="2"/>
  <c r="P55" i="2"/>
  <c r="P56" i="2"/>
  <c r="P54" i="2"/>
  <c r="P57" i="2" s="1"/>
  <c r="L43" i="2"/>
  <c r="L50" i="2"/>
  <c r="H43" i="2"/>
  <c r="H50" i="2"/>
  <c r="D43" i="2"/>
  <c r="D50" i="2"/>
  <c r="AF43" i="1"/>
  <c r="AF50" i="1"/>
  <c r="AB43" i="1"/>
  <c r="AB50" i="1"/>
  <c r="X43" i="1"/>
  <c r="X50" i="1"/>
  <c r="T54" i="1"/>
  <c r="T55" i="1"/>
  <c r="T56" i="1"/>
  <c r="P54" i="1"/>
  <c r="P57" i="1" s="1"/>
  <c r="P55" i="1"/>
  <c r="P56" i="1"/>
  <c r="L54" i="1"/>
  <c r="L55" i="1"/>
  <c r="L56" i="1"/>
  <c r="H55" i="1"/>
  <c r="H54" i="1"/>
  <c r="H56" i="1"/>
  <c r="D56" i="1"/>
  <c r="D54" i="1"/>
  <c r="D55" i="1"/>
  <c r="AD46" i="3"/>
  <c r="AD51" i="3"/>
  <c r="Z46" i="3"/>
  <c r="Z51" i="3"/>
  <c r="V46" i="3"/>
  <c r="V51" i="3"/>
  <c r="R46" i="3"/>
  <c r="R51" i="3"/>
  <c r="N46" i="3"/>
  <c r="N51" i="3"/>
  <c r="J46" i="3"/>
  <c r="J51" i="3"/>
  <c r="F46" i="3"/>
  <c r="F51" i="3"/>
  <c r="W55" i="2"/>
  <c r="W56" i="2"/>
  <c r="W54" i="2"/>
  <c r="G45" i="2"/>
  <c r="G50" i="2"/>
  <c r="AA44" i="1"/>
  <c r="AA46" i="1" s="1"/>
  <c r="AA50" i="1"/>
  <c r="K54" i="1"/>
  <c r="K56" i="1"/>
  <c r="K55" i="1"/>
  <c r="AG44" i="3"/>
  <c r="AG51" i="3"/>
  <c r="U44" i="3"/>
  <c r="U51" i="3"/>
  <c r="E44" i="3"/>
  <c r="E47" i="3" s="1"/>
  <c r="E51" i="3"/>
  <c r="O44" i="1"/>
  <c r="M46" i="1"/>
  <c r="AE44" i="1"/>
  <c r="B44" i="2"/>
  <c r="B50" i="2"/>
  <c r="AD55" i="2"/>
  <c r="AD54" i="2"/>
  <c r="AD56" i="2"/>
  <c r="Z55" i="2"/>
  <c r="Z54" i="2"/>
  <c r="Z57" i="2" s="1"/>
  <c r="Z56" i="2"/>
  <c r="V55" i="2"/>
  <c r="V56" i="2"/>
  <c r="V54" i="2"/>
  <c r="R45" i="2"/>
  <c r="R50" i="2"/>
  <c r="N55" i="2"/>
  <c r="N54" i="2"/>
  <c r="N57" i="2" s="1"/>
  <c r="N56" i="2"/>
  <c r="J45" i="2"/>
  <c r="J50" i="2"/>
  <c r="F45" i="2"/>
  <c r="F50" i="2"/>
  <c r="B56" i="1"/>
  <c r="B54" i="1"/>
  <c r="B55" i="1"/>
  <c r="AD43" i="1"/>
  <c r="AD50" i="1"/>
  <c r="Z43" i="1"/>
  <c r="Z50" i="1"/>
  <c r="V43" i="1"/>
  <c r="V50" i="1"/>
  <c r="R54" i="1"/>
  <c r="R55" i="1"/>
  <c r="R56" i="1"/>
  <c r="N43" i="1"/>
  <c r="N50" i="1"/>
  <c r="J55" i="1"/>
  <c r="J54" i="1"/>
  <c r="J56" i="1"/>
  <c r="F54" i="1"/>
  <c r="F55" i="1"/>
  <c r="F56" i="1"/>
  <c r="B45" i="3"/>
  <c r="B51" i="3"/>
  <c r="AF44" i="3"/>
  <c r="AF47" i="3" s="1"/>
  <c r="AF51" i="3"/>
  <c r="AB44" i="3"/>
  <c r="AB51" i="3"/>
  <c r="X45" i="3"/>
  <c r="X47" i="3" s="1"/>
  <c r="X51" i="3"/>
  <c r="T44" i="3"/>
  <c r="T51" i="3"/>
  <c r="P45" i="3"/>
  <c r="P51" i="3"/>
  <c r="L44" i="3"/>
  <c r="L51" i="3"/>
  <c r="H45" i="3"/>
  <c r="H47" i="3" s="1"/>
  <c r="H51" i="3"/>
  <c r="D44" i="3"/>
  <c r="D51" i="3"/>
  <c r="AE55" i="2"/>
  <c r="AE56" i="2"/>
  <c r="AE54" i="2"/>
  <c r="O55" i="2"/>
  <c r="O56" i="2"/>
  <c r="O54" i="2"/>
  <c r="C43" i="2"/>
  <c r="C50" i="2"/>
  <c r="S54" i="1"/>
  <c r="S57" i="1" s="1"/>
  <c r="S55" i="1"/>
  <c r="S56" i="1"/>
  <c r="G44" i="1"/>
  <c r="G50" i="1"/>
  <c r="Y45" i="3"/>
  <c r="Y51" i="3"/>
  <c r="M44" i="3"/>
  <c r="M51" i="3"/>
  <c r="S43" i="1"/>
  <c r="AA45" i="1"/>
  <c r="AC45" i="2"/>
  <c r="AC50" i="2"/>
  <c r="Y54" i="2"/>
  <c r="Y55" i="2"/>
  <c r="Y56" i="2"/>
  <c r="U54" i="2"/>
  <c r="U56" i="2"/>
  <c r="U55" i="2"/>
  <c r="Q54" i="2"/>
  <c r="Q57" i="2" s="1"/>
  <c r="Q56" i="2"/>
  <c r="Q55" i="2"/>
  <c r="M44" i="2"/>
  <c r="M50" i="2"/>
  <c r="I56" i="2"/>
  <c r="I55" i="2"/>
  <c r="I54" i="2"/>
  <c r="I57" i="2" s="1"/>
  <c r="E55" i="2"/>
  <c r="E56" i="2"/>
  <c r="E54" i="2"/>
  <c r="AG56" i="1"/>
  <c r="AG54" i="1"/>
  <c r="AG57" i="1" s="1"/>
  <c r="AG55" i="1"/>
  <c r="AC56" i="1"/>
  <c r="AC54" i="1"/>
  <c r="AC55" i="1"/>
  <c r="Y54" i="1"/>
  <c r="Y56" i="1"/>
  <c r="Y55" i="1"/>
  <c r="U54" i="1"/>
  <c r="U57" i="1" s="1"/>
  <c r="U56" i="1"/>
  <c r="U55" i="1"/>
  <c r="Q55" i="1"/>
  <c r="Q54" i="1"/>
  <c r="Q56" i="1"/>
  <c r="M56" i="1"/>
  <c r="M54" i="1"/>
  <c r="M55" i="1"/>
  <c r="I56" i="1"/>
  <c r="I54" i="1"/>
  <c r="I55" i="1"/>
  <c r="E55" i="1"/>
  <c r="E56" i="1"/>
  <c r="E54" i="1"/>
  <c r="AC46" i="3"/>
  <c r="M46" i="3"/>
  <c r="M47" i="3" s="1"/>
  <c r="AC45" i="3"/>
  <c r="M45" i="3"/>
  <c r="I44" i="3"/>
  <c r="AE46" i="3"/>
  <c r="AE51" i="3"/>
  <c r="AA46" i="3"/>
  <c r="AA51" i="3"/>
  <c r="W46" i="3"/>
  <c r="W51" i="3"/>
  <c r="S46" i="3"/>
  <c r="S51" i="3"/>
  <c r="O46" i="3"/>
  <c r="O51" i="3"/>
  <c r="K46" i="3"/>
  <c r="K51" i="3"/>
  <c r="G46" i="3"/>
  <c r="G51" i="3"/>
  <c r="C46" i="3"/>
  <c r="C51" i="3"/>
  <c r="AC45" i="5"/>
  <c r="AC50" i="5"/>
  <c r="U45" i="5"/>
  <c r="U50" i="5"/>
  <c r="AB44" i="5"/>
  <c r="AB50" i="5"/>
  <c r="K43" i="5"/>
  <c r="K50" i="5"/>
  <c r="R45" i="5"/>
  <c r="R50" i="5"/>
  <c r="AG45" i="5"/>
  <c r="AG50" i="5"/>
  <c r="I45" i="5"/>
  <c r="I50" i="5"/>
  <c r="AF44" i="5"/>
  <c r="AF50" i="5"/>
  <c r="X44" i="5"/>
  <c r="X50" i="5"/>
  <c r="P44" i="5"/>
  <c r="P50" i="5"/>
  <c r="H44" i="5"/>
  <c r="H50" i="5"/>
  <c r="M45" i="5"/>
  <c r="M50" i="5"/>
  <c r="T44" i="5"/>
  <c r="T50" i="5"/>
  <c r="S43" i="5"/>
  <c r="S50" i="5"/>
  <c r="Z45" i="5"/>
  <c r="Z50" i="5"/>
  <c r="Y45" i="5"/>
  <c r="Y50" i="5"/>
  <c r="AE43" i="5"/>
  <c r="AE50" i="5"/>
  <c r="W43" i="5"/>
  <c r="W50" i="5"/>
  <c r="O43" i="5"/>
  <c r="O50" i="5"/>
  <c r="G43" i="5"/>
  <c r="G50" i="5"/>
  <c r="E45" i="5"/>
  <c r="E50" i="5"/>
  <c r="AA43" i="5"/>
  <c r="AA50" i="5"/>
  <c r="B43" i="5"/>
  <c r="B50" i="5"/>
  <c r="J45" i="5"/>
  <c r="J50" i="5"/>
  <c r="Q45" i="5"/>
  <c r="Q50" i="5"/>
  <c r="AD45" i="5"/>
  <c r="AD50" i="5"/>
  <c r="V45" i="5"/>
  <c r="V50" i="5"/>
  <c r="N45" i="5"/>
  <c r="N50" i="5"/>
  <c r="F45" i="5"/>
  <c r="F50" i="5"/>
  <c r="L55" i="5"/>
  <c r="L54" i="5"/>
  <c r="L56" i="5"/>
  <c r="D44" i="5"/>
  <c r="D50" i="5"/>
  <c r="C43" i="5"/>
  <c r="C50" i="5"/>
  <c r="D32" i="8"/>
  <c r="D23" i="8"/>
  <c r="D27" i="8"/>
  <c r="D15" i="8"/>
  <c r="AG55" i="2"/>
  <c r="AG54" i="2"/>
  <c r="AG56" i="2"/>
  <c r="AG45" i="2"/>
  <c r="AG44" i="2"/>
  <c r="AG43" i="2"/>
  <c r="K45" i="2"/>
  <c r="W44" i="2"/>
  <c r="W43" i="2"/>
  <c r="C45" i="2"/>
  <c r="C44" i="2"/>
  <c r="S46" i="1"/>
  <c r="D11" i="8"/>
  <c r="O45" i="1"/>
  <c r="C44" i="1"/>
  <c r="G43" i="1"/>
  <c r="AE45" i="2"/>
  <c r="S45" i="2"/>
  <c r="AA44" i="2"/>
  <c r="K43" i="2"/>
  <c r="K46" i="2" s="1"/>
  <c r="R43" i="1"/>
  <c r="D18" i="8"/>
  <c r="J43" i="1"/>
  <c r="D10" i="8"/>
  <c r="G45" i="1"/>
  <c r="K44" i="1"/>
  <c r="O43" i="2"/>
  <c r="G43" i="2"/>
  <c r="G46" i="2" s="1"/>
  <c r="D20" i="8"/>
  <c r="AF46" i="3"/>
  <c r="X46" i="3"/>
  <c r="P46" i="3"/>
  <c r="P47" i="3" s="1"/>
  <c r="H46" i="3"/>
  <c r="AF45" i="3"/>
  <c r="Y44" i="3"/>
  <c r="Q44" i="3"/>
  <c r="Q47" i="3" s="1"/>
  <c r="D19" i="8"/>
  <c r="S44" i="1"/>
  <c r="Y46" i="1"/>
  <c r="G44" i="2"/>
  <c r="S43" i="2"/>
  <c r="S45" i="1"/>
  <c r="K43" i="1"/>
  <c r="K46" i="1" s="1"/>
  <c r="AE45" i="1"/>
  <c r="W45" i="1"/>
  <c r="W46" i="1" s="1"/>
  <c r="AA45" i="2"/>
  <c r="AA43" i="2"/>
  <c r="AA46" i="2" s="1"/>
  <c r="D25" i="8"/>
  <c r="D33" i="8"/>
  <c r="D17" i="8"/>
  <c r="D13" i="8"/>
  <c r="AG46" i="3"/>
  <c r="Y46" i="3"/>
  <c r="Q46" i="3"/>
  <c r="I46" i="3"/>
  <c r="I47" i="3" s="1"/>
  <c r="AG45" i="3"/>
  <c r="AF43" i="2"/>
  <c r="D31" i="8"/>
  <c r="AB43" i="2"/>
  <c r="D28" i="8"/>
  <c r="X43" i="2"/>
  <c r="D24" i="8"/>
  <c r="M27" i="8"/>
  <c r="AE44" i="2"/>
  <c r="AE43" i="2"/>
  <c r="AD45" i="2"/>
  <c r="D30" i="8"/>
  <c r="Z45" i="2"/>
  <c r="D26" i="8"/>
  <c r="V45" i="2"/>
  <c r="D22" i="8"/>
  <c r="AC43" i="2"/>
  <c r="D29" i="8"/>
  <c r="U43" i="2"/>
  <c r="U46" i="2" s="1"/>
  <c r="D21" i="8"/>
  <c r="U44" i="2"/>
  <c r="U45" i="2"/>
  <c r="P43" i="2"/>
  <c r="D16" i="8"/>
  <c r="P44" i="2"/>
  <c r="L44" i="5"/>
  <c r="D12" i="8"/>
  <c r="O45" i="2"/>
  <c r="O46" i="2" s="1"/>
  <c r="N45" i="2"/>
  <c r="D14" i="8"/>
  <c r="Z45" i="1"/>
  <c r="Z44" i="1"/>
  <c r="B43" i="2"/>
  <c r="J44" i="2"/>
  <c r="F44" i="2"/>
  <c r="D9" i="8"/>
  <c r="D5" i="8"/>
  <c r="B46" i="3"/>
  <c r="S44" i="3"/>
  <c r="C44" i="3"/>
  <c r="D2" i="8"/>
  <c r="D6" i="8"/>
  <c r="B44" i="1"/>
  <c r="B45" i="1"/>
  <c r="AD45" i="1"/>
  <c r="AD44" i="1"/>
  <c r="B45" i="2"/>
  <c r="AD44" i="2"/>
  <c r="Z44" i="2"/>
  <c r="V44" i="2"/>
  <c r="R44" i="2"/>
  <c r="N44" i="2"/>
  <c r="D8" i="8"/>
  <c r="D4" i="8"/>
  <c r="W44" i="3"/>
  <c r="G44" i="3"/>
  <c r="V45" i="1"/>
  <c r="R45" i="1"/>
  <c r="N45" i="1"/>
  <c r="J45" i="1"/>
  <c r="F45" i="1"/>
  <c r="V44" i="1"/>
  <c r="R44" i="1"/>
  <c r="R46" i="1" s="1"/>
  <c r="N44" i="1"/>
  <c r="J44" i="1"/>
  <c r="F44" i="1"/>
  <c r="F43" i="1"/>
  <c r="D7" i="8"/>
  <c r="D3" i="8"/>
  <c r="AA44" i="3"/>
  <c r="K44" i="3"/>
  <c r="Y46" i="2"/>
  <c r="Q46" i="2"/>
  <c r="B44" i="3"/>
  <c r="Y47" i="3"/>
  <c r="AB47" i="3"/>
  <c r="L47" i="3"/>
  <c r="B44" i="5"/>
  <c r="AF45" i="5"/>
  <c r="AB45" i="5"/>
  <c r="X45" i="5"/>
  <c r="T45" i="5"/>
  <c r="P45" i="5"/>
  <c r="L45" i="5"/>
  <c r="H45" i="5"/>
  <c r="D45" i="5"/>
  <c r="AE44" i="5"/>
  <c r="AA44" i="5"/>
  <c r="W44" i="5"/>
  <c r="S44" i="5"/>
  <c r="O44" i="5"/>
  <c r="K44" i="5"/>
  <c r="G44" i="5"/>
  <c r="C44" i="5"/>
  <c r="AD43" i="5"/>
  <c r="Z43" i="5"/>
  <c r="V43" i="5"/>
  <c r="R43" i="5"/>
  <c r="N43" i="5"/>
  <c r="J43" i="5"/>
  <c r="F43" i="5"/>
  <c r="B45" i="5"/>
  <c r="AE45" i="5"/>
  <c r="AA45" i="5"/>
  <c r="W45" i="5"/>
  <c r="S45" i="5"/>
  <c r="O45" i="5"/>
  <c r="K45" i="5"/>
  <c r="G45" i="5"/>
  <c r="C45" i="5"/>
  <c r="AD44" i="5"/>
  <c r="Z44" i="5"/>
  <c r="V44" i="5"/>
  <c r="R44" i="5"/>
  <c r="N44" i="5"/>
  <c r="J44" i="5"/>
  <c r="F44" i="5"/>
  <c r="AG43" i="5"/>
  <c r="AC43" i="5"/>
  <c r="Y43" i="5"/>
  <c r="U43" i="5"/>
  <c r="Q43" i="5"/>
  <c r="M43" i="5"/>
  <c r="I43" i="5"/>
  <c r="E43" i="5"/>
  <c r="M46" i="2"/>
  <c r="E46" i="2"/>
  <c r="U47" i="3"/>
  <c r="T47" i="3"/>
  <c r="D47" i="3"/>
  <c r="AG44" i="5"/>
  <c r="AC44" i="5"/>
  <c r="Y44" i="5"/>
  <c r="U44" i="5"/>
  <c r="Q44" i="5"/>
  <c r="M44" i="5"/>
  <c r="I44" i="5"/>
  <c r="E44" i="5"/>
  <c r="AF43" i="5"/>
  <c r="AB43" i="5"/>
  <c r="X43" i="5"/>
  <c r="T43" i="5"/>
  <c r="P43" i="5"/>
  <c r="L43" i="5"/>
  <c r="H43" i="5"/>
  <c r="D43" i="5"/>
  <c r="C46" i="2"/>
  <c r="AE45" i="3"/>
  <c r="AA45" i="3"/>
  <c r="W45" i="3"/>
  <c r="S45" i="3"/>
  <c r="O45" i="3"/>
  <c r="K45" i="3"/>
  <c r="G45" i="3"/>
  <c r="C45" i="3"/>
  <c r="C47" i="3" s="1"/>
  <c r="AD44" i="3"/>
  <c r="Z44" i="3"/>
  <c r="V44" i="3"/>
  <c r="R44" i="3"/>
  <c r="N44" i="3"/>
  <c r="J44" i="3"/>
  <c r="F44" i="3"/>
  <c r="AD45" i="3"/>
  <c r="Z45" i="3"/>
  <c r="V45" i="3"/>
  <c r="R45" i="3"/>
  <c r="N45" i="3"/>
  <c r="J45" i="3"/>
  <c r="F45" i="3"/>
  <c r="AF44" i="1"/>
  <c r="AB44" i="1"/>
  <c r="X44" i="1"/>
  <c r="AF45" i="1"/>
  <c r="AB45" i="1"/>
  <c r="X45" i="1"/>
  <c r="AF45" i="2"/>
  <c r="AF46" i="2" s="1"/>
  <c r="AB45" i="2"/>
  <c r="X45" i="2"/>
  <c r="X46" i="2" s="1"/>
  <c r="T45" i="2"/>
  <c r="P45" i="2"/>
  <c r="L45" i="2"/>
  <c r="L46" i="2" s="1"/>
  <c r="H45" i="2"/>
  <c r="H46" i="2" s="1"/>
  <c r="D45" i="2"/>
  <c r="D46" i="2" s="1"/>
  <c r="AD43" i="2"/>
  <c r="Z43" i="2"/>
  <c r="V43" i="2"/>
  <c r="R43" i="2"/>
  <c r="N43" i="2"/>
  <c r="J43" i="2"/>
  <c r="J46" i="2" s="1"/>
  <c r="F43" i="2"/>
  <c r="G61" i="1" l="1"/>
  <c r="G60" i="1"/>
  <c r="Z61" i="1"/>
  <c r="Z60" i="1"/>
  <c r="AA61" i="1"/>
  <c r="AA60" i="1"/>
  <c r="AF60" i="1"/>
  <c r="AF61" i="1"/>
  <c r="Z46" i="1"/>
  <c r="C60" i="2"/>
  <c r="C61" i="2"/>
  <c r="C61" i="1"/>
  <c r="C60" i="1"/>
  <c r="W61" i="1"/>
  <c r="W60" i="1"/>
  <c r="Q46" i="1"/>
  <c r="V46" i="1"/>
  <c r="AD46" i="1"/>
  <c r="V61" i="1"/>
  <c r="V60" i="1"/>
  <c r="AD61" i="1"/>
  <c r="AD60" i="1"/>
  <c r="R61" i="2"/>
  <c r="R60" i="2"/>
  <c r="G60" i="2"/>
  <c r="G61" i="2"/>
  <c r="AB60" i="1"/>
  <c r="AB61" i="1"/>
  <c r="D60" i="2"/>
  <c r="D61" i="2"/>
  <c r="L61" i="2"/>
  <c r="L60" i="2"/>
  <c r="AG46" i="1"/>
  <c r="M61" i="2"/>
  <c r="M60" i="2"/>
  <c r="X60" i="1"/>
  <c r="X61" i="1"/>
  <c r="H60" i="2"/>
  <c r="H61" i="2"/>
  <c r="B46" i="1"/>
  <c r="N61" i="1"/>
  <c r="N60" i="1"/>
  <c r="J61" i="2"/>
  <c r="J60" i="2"/>
  <c r="B61" i="2"/>
  <c r="B60" i="2"/>
  <c r="K61" i="2"/>
  <c r="K60" i="2"/>
  <c r="O47" i="3"/>
  <c r="AE47" i="3"/>
  <c r="AC61" i="2"/>
  <c r="AC60" i="2"/>
  <c r="F60" i="2"/>
  <c r="F61" i="2"/>
  <c r="T61" i="2"/>
  <c r="T60" i="2"/>
  <c r="O61" i="1"/>
  <c r="O60" i="1"/>
  <c r="AE61" i="1"/>
  <c r="AE60" i="1"/>
  <c r="S61" i="2"/>
  <c r="S60" i="2"/>
  <c r="I46" i="1"/>
  <c r="D60" i="5"/>
  <c r="D61" i="5"/>
  <c r="AE60" i="5"/>
  <c r="AE61" i="5"/>
  <c r="Z60" i="5"/>
  <c r="Z61" i="5"/>
  <c r="T60" i="5"/>
  <c r="T61" i="5"/>
  <c r="H61" i="5"/>
  <c r="H60" i="5"/>
  <c r="X60" i="5"/>
  <c r="X61" i="5"/>
  <c r="I60" i="5"/>
  <c r="I61" i="5"/>
  <c r="R60" i="5"/>
  <c r="R61" i="5"/>
  <c r="AB60" i="5"/>
  <c r="AB61" i="5"/>
  <c r="AC60" i="5"/>
  <c r="AC61" i="5"/>
  <c r="V60" i="5"/>
  <c r="V61" i="5"/>
  <c r="E60" i="5"/>
  <c r="E61" i="5"/>
  <c r="F60" i="5"/>
  <c r="F61" i="5"/>
  <c r="Q60" i="5"/>
  <c r="Q61" i="5"/>
  <c r="O60" i="5"/>
  <c r="O61" i="5"/>
  <c r="N60" i="5"/>
  <c r="N61" i="5"/>
  <c r="AD60" i="5"/>
  <c r="AD61" i="5"/>
  <c r="J60" i="5"/>
  <c r="J61" i="5"/>
  <c r="AA60" i="5"/>
  <c r="AA61" i="5"/>
  <c r="G60" i="5"/>
  <c r="G61" i="5"/>
  <c r="W60" i="5"/>
  <c r="W61" i="5"/>
  <c r="Y60" i="5"/>
  <c r="Y61" i="5"/>
  <c r="S60" i="5"/>
  <c r="S61" i="5"/>
  <c r="M61" i="5"/>
  <c r="M60" i="5"/>
  <c r="P60" i="5"/>
  <c r="P61" i="5"/>
  <c r="AF60" i="5"/>
  <c r="AF61" i="5"/>
  <c r="AG60" i="5"/>
  <c r="AG61" i="5"/>
  <c r="K60" i="5"/>
  <c r="K61" i="5"/>
  <c r="U60" i="5"/>
  <c r="U61" i="5"/>
  <c r="N7" i="8"/>
  <c r="L7" i="8"/>
  <c r="N9" i="8"/>
  <c r="L9" i="8"/>
  <c r="N16" i="8"/>
  <c r="L16" i="8"/>
  <c r="N21" i="8"/>
  <c r="L21" i="8"/>
  <c r="N22" i="8"/>
  <c r="L22" i="8"/>
  <c r="N30" i="8"/>
  <c r="L30" i="8"/>
  <c r="N13" i="8"/>
  <c r="L13" i="8"/>
  <c r="N10" i="8"/>
  <c r="L10" i="8"/>
  <c r="N15" i="8"/>
  <c r="L15" i="8"/>
  <c r="N12" i="8"/>
  <c r="L12" i="8"/>
  <c r="N24" i="8"/>
  <c r="L24" i="8"/>
  <c r="N31" i="8"/>
  <c r="L31" i="8"/>
  <c r="N17" i="8"/>
  <c r="L17" i="8"/>
  <c r="L27" i="8"/>
  <c r="N27" i="8"/>
  <c r="N4" i="8"/>
  <c r="L4" i="8"/>
  <c r="N6" i="8"/>
  <c r="L6" i="8"/>
  <c r="N14" i="8"/>
  <c r="L14" i="8"/>
  <c r="N29" i="8"/>
  <c r="L29" i="8"/>
  <c r="N26" i="8"/>
  <c r="L26" i="8"/>
  <c r="N33" i="8"/>
  <c r="L33" i="8"/>
  <c r="L19" i="8"/>
  <c r="N19" i="8"/>
  <c r="N18" i="8"/>
  <c r="L18" i="8"/>
  <c r="N23" i="8"/>
  <c r="L23" i="8"/>
  <c r="N3" i="8"/>
  <c r="L3" i="8"/>
  <c r="N8" i="8"/>
  <c r="L8" i="8"/>
  <c r="N2" i="8"/>
  <c r="L2" i="8"/>
  <c r="N5" i="8"/>
  <c r="L5" i="8"/>
  <c r="N28" i="8"/>
  <c r="L28" i="8"/>
  <c r="N25" i="8"/>
  <c r="L25" i="8"/>
  <c r="N20" i="8"/>
  <c r="L20" i="8"/>
  <c r="L11" i="8"/>
  <c r="N11" i="8"/>
  <c r="N32" i="8"/>
  <c r="L32" i="8"/>
  <c r="B61" i="5"/>
  <c r="B60" i="5"/>
  <c r="C60" i="5"/>
  <c r="C61" i="5"/>
  <c r="AA57" i="2"/>
  <c r="W57" i="2"/>
  <c r="V57" i="2"/>
  <c r="K15" i="8"/>
  <c r="K27" i="8"/>
  <c r="M25" i="8"/>
  <c r="K32" i="8"/>
  <c r="M56" i="2"/>
  <c r="M54" i="2"/>
  <c r="M55" i="2"/>
  <c r="G54" i="1"/>
  <c r="G57" i="1" s="1"/>
  <c r="G55" i="1"/>
  <c r="G56" i="1"/>
  <c r="X54" i="1"/>
  <c r="X55" i="1"/>
  <c r="X56" i="1"/>
  <c r="H54" i="2"/>
  <c r="H56" i="2"/>
  <c r="H55" i="2"/>
  <c r="T46" i="2"/>
  <c r="S47" i="3"/>
  <c r="C46" i="1"/>
  <c r="C55" i="3"/>
  <c r="C58" i="3" s="1"/>
  <c r="C57" i="3"/>
  <c r="C56" i="3"/>
  <c r="K55" i="3"/>
  <c r="K57" i="3"/>
  <c r="K56" i="3"/>
  <c r="S55" i="3"/>
  <c r="S56" i="3"/>
  <c r="S57" i="3"/>
  <c r="AA55" i="3"/>
  <c r="AA56" i="3"/>
  <c r="AA57" i="3"/>
  <c r="M57" i="1"/>
  <c r="AC57" i="1"/>
  <c r="C55" i="2"/>
  <c r="C54" i="2"/>
  <c r="C56" i="2"/>
  <c r="D56" i="3"/>
  <c r="D55" i="3"/>
  <c r="D57" i="3"/>
  <c r="L56" i="3"/>
  <c r="L55" i="3"/>
  <c r="L57" i="3"/>
  <c r="T55" i="3"/>
  <c r="T56" i="3"/>
  <c r="T57" i="3"/>
  <c r="AB55" i="3"/>
  <c r="AB56" i="3"/>
  <c r="AB57" i="3"/>
  <c r="B55" i="3"/>
  <c r="B57" i="3"/>
  <c r="B56" i="3"/>
  <c r="F57" i="1"/>
  <c r="N54" i="1"/>
  <c r="N56" i="1"/>
  <c r="N55" i="1"/>
  <c r="R57" i="1"/>
  <c r="B57" i="1"/>
  <c r="J54" i="2"/>
  <c r="J56" i="2"/>
  <c r="J55" i="2"/>
  <c r="B56" i="2"/>
  <c r="B55" i="2"/>
  <c r="B54" i="2"/>
  <c r="U55" i="3"/>
  <c r="U56" i="3"/>
  <c r="U57" i="3"/>
  <c r="J55" i="3"/>
  <c r="J57" i="3"/>
  <c r="J56" i="3"/>
  <c r="R56" i="3"/>
  <c r="R55" i="3"/>
  <c r="R57" i="3"/>
  <c r="Z55" i="3"/>
  <c r="Z56" i="3"/>
  <c r="Z57" i="3"/>
  <c r="H57" i="1"/>
  <c r="L57" i="1"/>
  <c r="Q56" i="3"/>
  <c r="Q57" i="3"/>
  <c r="Q55" i="3"/>
  <c r="C56" i="1"/>
  <c r="C54" i="1"/>
  <c r="C55" i="1"/>
  <c r="W54" i="1"/>
  <c r="W55" i="1"/>
  <c r="W56" i="1"/>
  <c r="K55" i="2"/>
  <c r="K54" i="2"/>
  <c r="K56" i="2"/>
  <c r="Z54" i="1"/>
  <c r="Z55" i="1"/>
  <c r="Z56" i="1"/>
  <c r="G47" i="3"/>
  <c r="AC46" i="2"/>
  <c r="AE46" i="2"/>
  <c r="O46" i="1"/>
  <c r="E57" i="1"/>
  <c r="I57" i="1"/>
  <c r="E57" i="2"/>
  <c r="Y57" i="2"/>
  <c r="Y55" i="3"/>
  <c r="Y56" i="3"/>
  <c r="Y57" i="3"/>
  <c r="AE57" i="2"/>
  <c r="V54" i="1"/>
  <c r="V55" i="1"/>
  <c r="V56" i="1"/>
  <c r="AD54" i="1"/>
  <c r="AD55" i="1"/>
  <c r="AD56" i="1"/>
  <c r="R55" i="2"/>
  <c r="R54" i="2"/>
  <c r="R56" i="2"/>
  <c r="G54" i="2"/>
  <c r="G56" i="2"/>
  <c r="G55" i="2"/>
  <c r="D57" i="1"/>
  <c r="AB54" i="1"/>
  <c r="AB55" i="1"/>
  <c r="AB56" i="1"/>
  <c r="D56" i="2"/>
  <c r="D54" i="2"/>
  <c r="D55" i="2"/>
  <c r="L55" i="2"/>
  <c r="L54" i="2"/>
  <c r="L56" i="2"/>
  <c r="M56" i="3"/>
  <c r="M55" i="3"/>
  <c r="M57" i="3"/>
  <c r="AA54" i="1"/>
  <c r="AA55" i="1"/>
  <c r="AA56" i="1"/>
  <c r="AF54" i="1"/>
  <c r="AF55" i="1"/>
  <c r="AF56" i="1"/>
  <c r="AB46" i="2"/>
  <c r="AG47" i="3"/>
  <c r="AE46" i="1"/>
  <c r="W46" i="2"/>
  <c r="AG46" i="2"/>
  <c r="G55" i="3"/>
  <c r="G57" i="3"/>
  <c r="G56" i="3"/>
  <c r="O55" i="3"/>
  <c r="O57" i="3"/>
  <c r="O56" i="3"/>
  <c r="W56" i="3"/>
  <c r="W57" i="3"/>
  <c r="W55" i="3"/>
  <c r="AE55" i="3"/>
  <c r="AE56" i="3"/>
  <c r="AE57" i="3"/>
  <c r="Q57" i="1"/>
  <c r="Y57" i="1"/>
  <c r="U57" i="2"/>
  <c r="AC54" i="2"/>
  <c r="AC56" i="2"/>
  <c r="AC55" i="2"/>
  <c r="O57" i="2"/>
  <c r="H56" i="3"/>
  <c r="H55" i="3"/>
  <c r="H57" i="3"/>
  <c r="P56" i="3"/>
  <c r="P55" i="3"/>
  <c r="P57" i="3"/>
  <c r="X55" i="3"/>
  <c r="X56" i="3"/>
  <c r="X57" i="3"/>
  <c r="AF55" i="3"/>
  <c r="AF56" i="3"/>
  <c r="AF57" i="3"/>
  <c r="J57" i="1"/>
  <c r="F56" i="2"/>
  <c r="F54" i="2"/>
  <c r="F55" i="2"/>
  <c r="AD57" i="2"/>
  <c r="E56" i="3"/>
  <c r="E55" i="3"/>
  <c r="E57" i="3"/>
  <c r="AG55" i="3"/>
  <c r="AG56" i="3"/>
  <c r="AG57" i="3"/>
  <c r="K57" i="1"/>
  <c r="F55" i="3"/>
  <c r="F57" i="3"/>
  <c r="F56" i="3"/>
  <c r="N55" i="3"/>
  <c r="N57" i="3"/>
  <c r="N56" i="3"/>
  <c r="V57" i="3"/>
  <c r="V55" i="3"/>
  <c r="V56" i="3"/>
  <c r="AD55" i="3"/>
  <c r="AD56" i="3"/>
  <c r="AD57" i="3"/>
  <c r="T57" i="1"/>
  <c r="T55" i="2"/>
  <c r="T54" i="2"/>
  <c r="T56" i="2"/>
  <c r="AF57" i="2"/>
  <c r="I56" i="3"/>
  <c r="I55" i="3"/>
  <c r="I57" i="3"/>
  <c r="AC55" i="3"/>
  <c r="AC56" i="3"/>
  <c r="AC57" i="3"/>
  <c r="O54" i="1"/>
  <c r="O55" i="1"/>
  <c r="O56" i="1"/>
  <c r="AE54" i="1"/>
  <c r="AE55" i="1"/>
  <c r="AE56" i="1"/>
  <c r="S55" i="2"/>
  <c r="S56" i="2"/>
  <c r="S54" i="2"/>
  <c r="J55" i="5"/>
  <c r="J56" i="5"/>
  <c r="J54" i="5"/>
  <c r="Y56" i="5"/>
  <c r="Y55" i="5"/>
  <c r="Y54" i="5"/>
  <c r="M55" i="5"/>
  <c r="M54" i="5"/>
  <c r="M56" i="5"/>
  <c r="V55" i="5"/>
  <c r="V56" i="5"/>
  <c r="V54" i="5"/>
  <c r="B55" i="5"/>
  <c r="B54" i="5"/>
  <c r="B56" i="5"/>
  <c r="O55" i="5"/>
  <c r="O56" i="5"/>
  <c r="O54" i="5"/>
  <c r="Z55" i="5"/>
  <c r="Z56" i="5"/>
  <c r="Z54" i="5"/>
  <c r="H55" i="5"/>
  <c r="H56" i="5"/>
  <c r="H54" i="5"/>
  <c r="I56" i="5"/>
  <c r="I54" i="5"/>
  <c r="I55" i="5"/>
  <c r="AB55" i="5"/>
  <c r="AB54" i="5"/>
  <c r="AB56" i="5"/>
  <c r="K23" i="8"/>
  <c r="N55" i="5"/>
  <c r="N56" i="5"/>
  <c r="N54" i="5"/>
  <c r="K54" i="5"/>
  <c r="K56" i="5"/>
  <c r="K55" i="5"/>
  <c r="G55" i="5"/>
  <c r="G54" i="5"/>
  <c r="G56" i="5"/>
  <c r="AF55" i="5"/>
  <c r="AF56" i="5"/>
  <c r="AF54" i="5"/>
  <c r="D54" i="5"/>
  <c r="D55" i="5"/>
  <c r="D56" i="5"/>
  <c r="L57" i="5"/>
  <c r="AD55" i="5"/>
  <c r="AD56" i="5"/>
  <c r="AD54" i="5"/>
  <c r="AA54" i="5"/>
  <c r="AA55" i="5"/>
  <c r="AA56" i="5"/>
  <c r="W56" i="5"/>
  <c r="W54" i="5"/>
  <c r="W55" i="5"/>
  <c r="S55" i="5"/>
  <c r="S56" i="5"/>
  <c r="S54" i="5"/>
  <c r="P55" i="5"/>
  <c r="P56" i="5"/>
  <c r="P54" i="5"/>
  <c r="AG55" i="5"/>
  <c r="AG56" i="5"/>
  <c r="AG54" i="5"/>
  <c r="U54" i="5"/>
  <c r="U55" i="5"/>
  <c r="U56" i="5"/>
  <c r="AC55" i="5"/>
  <c r="AC54" i="5"/>
  <c r="AC56" i="5"/>
  <c r="M23" i="8"/>
  <c r="F56" i="5"/>
  <c r="F55" i="5"/>
  <c r="F54" i="5"/>
  <c r="Q55" i="5"/>
  <c r="Q56" i="5"/>
  <c r="Q54" i="5"/>
  <c r="E55" i="5"/>
  <c r="E54" i="5"/>
  <c r="E56" i="5"/>
  <c r="AE55" i="5"/>
  <c r="AE56" i="5"/>
  <c r="AE54" i="5"/>
  <c r="T55" i="5"/>
  <c r="T54" i="5"/>
  <c r="T56" i="5"/>
  <c r="X55" i="5"/>
  <c r="X56" i="5"/>
  <c r="X54" i="5"/>
  <c r="R55" i="5"/>
  <c r="R56" i="5"/>
  <c r="R54" i="5"/>
  <c r="C55" i="5"/>
  <c r="C56" i="5"/>
  <c r="C54" i="5"/>
  <c r="M15" i="8"/>
  <c r="M32" i="8"/>
  <c r="AG57" i="2"/>
  <c r="Z46" i="2"/>
  <c r="AD46" i="2"/>
  <c r="B46" i="2"/>
  <c r="M11" i="8"/>
  <c r="K11" i="8"/>
  <c r="W47" i="3"/>
  <c r="K25" i="8"/>
  <c r="M13" i="8"/>
  <c r="K13" i="8"/>
  <c r="M10" i="8"/>
  <c r="K10" i="8"/>
  <c r="G46" i="1"/>
  <c r="R46" i="2"/>
  <c r="K47" i="3"/>
  <c r="AA47" i="3"/>
  <c r="E46" i="5"/>
  <c r="U46" i="5"/>
  <c r="N46" i="5"/>
  <c r="B47" i="3"/>
  <c r="J46" i="1"/>
  <c r="M17" i="8"/>
  <c r="K17" i="8"/>
  <c r="M20" i="8"/>
  <c r="K20" i="8"/>
  <c r="P46" i="2"/>
  <c r="F46" i="2"/>
  <c r="V46" i="2"/>
  <c r="X46" i="1"/>
  <c r="N47" i="3"/>
  <c r="AD47" i="3"/>
  <c r="N46" i="1"/>
  <c r="K33" i="8"/>
  <c r="M33" i="8"/>
  <c r="K19" i="8"/>
  <c r="M19" i="8"/>
  <c r="M18" i="8"/>
  <c r="K18" i="8"/>
  <c r="K28" i="8"/>
  <c r="M28" i="8"/>
  <c r="M22" i="8"/>
  <c r="K22" i="8"/>
  <c r="M30" i="8"/>
  <c r="K30" i="8"/>
  <c r="K21" i="8"/>
  <c r="M21" i="8"/>
  <c r="K24" i="8"/>
  <c r="M24" i="8"/>
  <c r="K31" i="8"/>
  <c r="M31" i="8"/>
  <c r="M29" i="8"/>
  <c r="K29" i="8"/>
  <c r="M26" i="8"/>
  <c r="K26" i="8"/>
  <c r="K12" i="8"/>
  <c r="M12" i="8"/>
  <c r="M14" i="8"/>
  <c r="K14" i="8"/>
  <c r="K16" i="8"/>
  <c r="M16" i="8"/>
  <c r="N46" i="2"/>
  <c r="K4" i="8"/>
  <c r="M4" i="8"/>
  <c r="K6" i="8"/>
  <c r="M6" i="8"/>
  <c r="M3" i="8"/>
  <c r="K3" i="8"/>
  <c r="K8" i="8"/>
  <c r="M8" i="8"/>
  <c r="K2" i="8"/>
  <c r="M2" i="8"/>
  <c r="K5" i="8"/>
  <c r="M5" i="8"/>
  <c r="B46" i="5"/>
  <c r="M7" i="8"/>
  <c r="K7" i="8"/>
  <c r="K9" i="8"/>
  <c r="M9" i="8"/>
  <c r="AB46" i="1"/>
  <c r="F46" i="1"/>
  <c r="J47" i="3"/>
  <c r="Z47" i="3"/>
  <c r="Q46" i="5"/>
  <c r="AG46" i="5"/>
  <c r="J46" i="5"/>
  <c r="Z46" i="5"/>
  <c r="K46" i="5"/>
  <c r="AA46" i="5"/>
  <c r="L46" i="5"/>
  <c r="AB46" i="5"/>
  <c r="AD46" i="5"/>
  <c r="O46" i="5"/>
  <c r="AE46" i="5"/>
  <c r="P46" i="5"/>
  <c r="AF46" i="5"/>
  <c r="I46" i="5"/>
  <c r="Y46" i="5"/>
  <c r="R46" i="5"/>
  <c r="C46" i="5"/>
  <c r="S46" i="5"/>
  <c r="D46" i="5"/>
  <c r="T46" i="5"/>
  <c r="AF46" i="1"/>
  <c r="F47" i="3"/>
  <c r="V47" i="3"/>
  <c r="M46" i="5"/>
  <c r="AC46" i="5"/>
  <c r="F46" i="5"/>
  <c r="V46" i="5"/>
  <c r="G46" i="5"/>
  <c r="W46" i="5"/>
  <c r="H46" i="5"/>
  <c r="X46" i="5"/>
  <c r="R47" i="3"/>
  <c r="P3" i="8" l="1"/>
  <c r="X3" i="8"/>
  <c r="O16" i="8"/>
  <c r="X16" i="8"/>
  <c r="O12" i="8"/>
  <c r="X12" i="8"/>
  <c r="O24" i="8"/>
  <c r="X24" i="8"/>
  <c r="O28" i="8"/>
  <c r="X28" i="8"/>
  <c r="O19" i="8"/>
  <c r="X19" i="8"/>
  <c r="P17" i="8"/>
  <c r="O17" i="8"/>
  <c r="X17" i="8"/>
  <c r="O32" i="8"/>
  <c r="X32" i="8"/>
  <c r="AA2" i="8"/>
  <c r="X2" i="8"/>
  <c r="X4" i="8"/>
  <c r="O14" i="8"/>
  <c r="X14" i="8"/>
  <c r="O26" i="8"/>
  <c r="X26" i="8"/>
  <c r="O22" i="8"/>
  <c r="X22" i="8"/>
  <c r="P18" i="8"/>
  <c r="O18" i="8"/>
  <c r="X18" i="8"/>
  <c r="O13" i="8"/>
  <c r="X13" i="8"/>
  <c r="O11" i="8"/>
  <c r="X11" i="8"/>
  <c r="O57" i="1"/>
  <c r="V58" i="3"/>
  <c r="N58" i="3"/>
  <c r="C57" i="1"/>
  <c r="R58" i="3"/>
  <c r="B57" i="2"/>
  <c r="J57" i="2"/>
  <c r="B58" i="3"/>
  <c r="C57" i="2"/>
  <c r="K58" i="3"/>
  <c r="X57" i="1"/>
  <c r="O9" i="8"/>
  <c r="X9" i="8"/>
  <c r="O31" i="8"/>
  <c r="X31" i="8"/>
  <c r="O21" i="8"/>
  <c r="X21" i="8"/>
  <c r="O33" i="8"/>
  <c r="X33" i="8"/>
  <c r="O20" i="8"/>
  <c r="X20" i="8"/>
  <c r="O23" i="8"/>
  <c r="X23" i="8"/>
  <c r="P27" i="8"/>
  <c r="O27" i="8"/>
  <c r="X27" i="8"/>
  <c r="X7" i="8"/>
  <c r="P5" i="8"/>
  <c r="X5" i="8"/>
  <c r="P8" i="8"/>
  <c r="O8" i="8"/>
  <c r="X8" i="8"/>
  <c r="P6" i="8"/>
  <c r="X6" i="8"/>
  <c r="P29" i="8"/>
  <c r="O29" i="8"/>
  <c r="X29" i="8"/>
  <c r="P30" i="8"/>
  <c r="O30" i="8"/>
  <c r="X30" i="8"/>
  <c r="P10" i="8"/>
  <c r="O10" i="8"/>
  <c r="X10" i="8"/>
  <c r="P25" i="8"/>
  <c r="O25" i="8"/>
  <c r="X25" i="8"/>
  <c r="H58" i="3"/>
  <c r="O15" i="8"/>
  <c r="X15" i="8"/>
  <c r="R7" i="8"/>
  <c r="P7" i="8"/>
  <c r="P16" i="8"/>
  <c r="P12" i="8"/>
  <c r="P24" i="8"/>
  <c r="P28" i="8"/>
  <c r="P19" i="8"/>
  <c r="P23" i="8"/>
  <c r="P2" i="8"/>
  <c r="P4" i="8"/>
  <c r="P14" i="8"/>
  <c r="P26" i="8"/>
  <c r="P22" i="8"/>
  <c r="P13" i="8"/>
  <c r="P11" i="8"/>
  <c r="P15" i="8"/>
  <c r="R28" i="8"/>
  <c r="R29" i="8"/>
  <c r="R30" i="8"/>
  <c r="R9" i="8"/>
  <c r="P9" i="8"/>
  <c r="P31" i="8"/>
  <c r="P21" i="8"/>
  <c r="P33" i="8"/>
  <c r="P20" i="8"/>
  <c r="P32" i="8"/>
  <c r="R20" i="8"/>
  <c r="R18" i="8"/>
  <c r="R33" i="8"/>
  <c r="R31" i="8"/>
  <c r="R21" i="8"/>
  <c r="R5" i="8"/>
  <c r="R8" i="8"/>
  <c r="R6" i="8"/>
  <c r="R10" i="8"/>
  <c r="R27" i="8"/>
  <c r="R3" i="8"/>
  <c r="R12" i="8"/>
  <c r="R25" i="8"/>
  <c r="R23" i="8"/>
  <c r="R26" i="8"/>
  <c r="R14" i="8"/>
  <c r="R17" i="8"/>
  <c r="R24" i="8"/>
  <c r="R15" i="8"/>
  <c r="R22" i="8"/>
  <c r="R16" i="8"/>
  <c r="R2" i="8"/>
  <c r="R4" i="8"/>
  <c r="R13" i="8"/>
  <c r="R11" i="8"/>
  <c r="Q27" i="8"/>
  <c r="R19" i="8"/>
  <c r="R32" i="8"/>
  <c r="Q15" i="8"/>
  <c r="H57" i="5"/>
  <c r="C57" i="5"/>
  <c r="S57" i="2"/>
  <c r="L57" i="2"/>
  <c r="K57" i="2"/>
  <c r="AG57" i="5"/>
  <c r="AC58" i="3"/>
  <c r="F58" i="3"/>
  <c r="AG58" i="3"/>
  <c r="P58" i="3"/>
  <c r="AC57" i="2"/>
  <c r="O58" i="3"/>
  <c r="M58" i="3"/>
  <c r="G57" i="2"/>
  <c r="R57" i="2"/>
  <c r="AD57" i="1"/>
  <c r="W57" i="1"/>
  <c r="Q58" i="3"/>
  <c r="U58" i="3"/>
  <c r="S57" i="5"/>
  <c r="AA57" i="5"/>
  <c r="AF57" i="5"/>
  <c r="K57" i="5"/>
  <c r="J57" i="5"/>
  <c r="AE57" i="1"/>
  <c r="I58" i="3"/>
  <c r="T57" i="2"/>
  <c r="E58" i="3"/>
  <c r="F57" i="2"/>
  <c r="X58" i="3"/>
  <c r="AE58" i="3"/>
  <c r="AA57" i="1"/>
  <c r="D57" i="2"/>
  <c r="AB57" i="1"/>
  <c r="Z57" i="1"/>
  <c r="AB58" i="3"/>
  <c r="L58" i="3"/>
  <c r="S58" i="3"/>
  <c r="H57" i="2"/>
  <c r="M57" i="2"/>
  <c r="X57" i="5"/>
  <c r="AD57" i="5"/>
  <c r="N57" i="5"/>
  <c r="O57" i="5"/>
  <c r="AD58" i="3"/>
  <c r="AF58" i="3"/>
  <c r="W58" i="3"/>
  <c r="G58" i="3"/>
  <c r="AF57" i="1"/>
  <c r="V57" i="1"/>
  <c r="Y58" i="3"/>
  <c r="Z58" i="3"/>
  <c r="J58" i="3"/>
  <c r="N57" i="1"/>
  <c r="T58" i="3"/>
  <c r="D58" i="3"/>
  <c r="AA58" i="3"/>
  <c r="Q23" i="8"/>
  <c r="U57" i="5"/>
  <c r="W57" i="5"/>
  <c r="G57" i="5"/>
  <c r="T57" i="5"/>
  <c r="Q57" i="5"/>
  <c r="AC57" i="5"/>
  <c r="P57" i="5"/>
  <c r="B57" i="5"/>
  <c r="Y57" i="5"/>
  <c r="I57" i="5"/>
  <c r="R57" i="5"/>
  <c r="D57" i="5"/>
  <c r="AB57" i="5"/>
  <c r="Z57" i="5"/>
  <c r="F57" i="5"/>
  <c r="E57" i="5"/>
  <c r="M57" i="5"/>
  <c r="AE57" i="5"/>
  <c r="V57" i="5"/>
  <c r="Q25" i="8"/>
  <c r="Q7" i="8"/>
  <c r="Q26" i="8"/>
  <c r="Q32" i="8"/>
  <c r="Q9" i="8"/>
  <c r="Q3" i="8"/>
  <c r="Q31" i="8"/>
  <c r="Q24" i="8"/>
  <c r="Q10" i="8"/>
  <c r="Q20" i="8"/>
  <c r="Q2" i="8"/>
  <c r="Q4" i="8"/>
  <c r="Q16" i="8"/>
  <c r="Q21" i="8"/>
  <c r="Q18" i="8"/>
  <c r="Q19" i="8"/>
  <c r="Q5" i="8"/>
  <c r="Q6" i="8"/>
  <c r="Q22" i="8"/>
  <c r="Q8" i="8"/>
  <c r="Q14" i="8"/>
  <c r="Q12" i="8"/>
  <c r="Q29" i="8"/>
  <c r="Q30" i="8"/>
  <c r="Q28" i="8"/>
  <c r="Q33" i="8"/>
  <c r="Q17" i="8"/>
  <c r="Q13" i="8"/>
  <c r="Q11" i="8"/>
  <c r="O2" i="8"/>
  <c r="O4" i="8"/>
  <c r="O7" i="8"/>
  <c r="O3" i="8"/>
  <c r="O5" i="8"/>
  <c r="O6" i="8"/>
  <c r="Z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Dr. AbdulHafiz Jones</author>
  </authors>
  <commentList>
    <comment ref="X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Dr. AbdulHafiz Jones:</t>
        </r>
        <r>
          <rPr>
            <sz val="9"/>
            <color indexed="81"/>
            <rFont val="Tahoma"/>
            <family val="2"/>
          </rPr>
          <t xml:space="preserve">
SPSS model: 
10.06 +3.6(Size) - 20.4(Leverage) + 3.9(HCE) + 16.5(CLE) + 1029(CEE cap)</t>
        </r>
      </text>
    </comment>
  </commentList>
</comments>
</file>

<file path=xl/sharedStrings.xml><?xml version="1.0" encoding="utf-8"?>
<sst xmlns="http://schemas.openxmlformats.org/spreadsheetml/2006/main" count="621" uniqueCount="146">
  <si>
    <t>Saudi Telecom</t>
  </si>
  <si>
    <t>BALANCE SHEET</t>
  </si>
  <si>
    <t>Current Assets</t>
  </si>
  <si>
    <t>Inventory</t>
  </si>
  <si>
    <t>Investments</t>
  </si>
  <si>
    <t>Fixed Assets</t>
  </si>
  <si>
    <t>Other Assets</t>
  </si>
  <si>
    <t>Total Assets</t>
  </si>
  <si>
    <t>Current Liabilities</t>
  </si>
  <si>
    <t>Non-Current Liabilities</t>
  </si>
  <si>
    <t>Other Liabilities</t>
  </si>
  <si>
    <t>Shareholders Equity</t>
  </si>
  <si>
    <t>Minority Interests</t>
  </si>
  <si>
    <t>Total Liabilities and Shareholder Equity</t>
  </si>
  <si>
    <t>31/03/2011</t>
  </si>
  <si>
    <t>30/06/2011</t>
  </si>
  <si>
    <t>30/09/2011</t>
  </si>
  <si>
    <t>31/12/2011</t>
  </si>
  <si>
    <t>31/03/2012</t>
  </si>
  <si>
    <t>30/06/2012</t>
  </si>
  <si>
    <t>30/09/2012</t>
  </si>
  <si>
    <t>31/12/2012</t>
  </si>
  <si>
    <t>31/03/2013</t>
  </si>
  <si>
    <t>30/06/2013</t>
  </si>
  <si>
    <t>30/09/2013</t>
  </si>
  <si>
    <t>31/12/2013</t>
  </si>
  <si>
    <t>31/03/2014</t>
  </si>
  <si>
    <t>30/06/2014</t>
  </si>
  <si>
    <t>30/09/2014</t>
  </si>
  <si>
    <t>31/12/2014</t>
  </si>
  <si>
    <t>31/03/2015</t>
  </si>
  <si>
    <t>30/06/2015</t>
  </si>
  <si>
    <t>30/09/2015</t>
  </si>
  <si>
    <t>31/12/2015</t>
  </si>
  <si>
    <t>Stock Performance</t>
  </si>
  <si>
    <t>INCOME STATEMENT</t>
  </si>
  <si>
    <t>Sales</t>
  </si>
  <si>
    <t>Sales Cost</t>
  </si>
  <si>
    <t>Total Income</t>
  </si>
  <si>
    <t>Other Revenues</t>
  </si>
  <si>
    <t>Total Revenues</t>
  </si>
  <si>
    <t>Admin and Marketing Expenses</t>
  </si>
  <si>
    <t>Depreciation</t>
  </si>
  <si>
    <t>Other Expenses</t>
  </si>
  <si>
    <t>Total Expenses</t>
  </si>
  <si>
    <t>Net Income Before Zakat</t>
  </si>
  <si>
    <t>Zakat</t>
  </si>
  <si>
    <t>Net Income</t>
  </si>
  <si>
    <t>Number of Staff</t>
  </si>
  <si>
    <t>MOBILE TELECOMMUNICATION COMPANY</t>
  </si>
  <si>
    <t>-</t>
  </si>
  <si>
    <t>Etihad Etisalat</t>
  </si>
  <si>
    <t>187, 376</t>
  </si>
  <si>
    <t>Etihad Atheeb</t>
  </si>
  <si>
    <t>21 45</t>
  </si>
  <si>
    <t>Selling and Marketing Expenses</t>
  </si>
  <si>
    <t>Genaral and Administrative Expenses</t>
  </si>
  <si>
    <t>WEF 6th  pillar</t>
  </si>
  <si>
    <t>WEF 7th  pillar</t>
  </si>
  <si>
    <t>WEF 8th  pillar</t>
  </si>
  <si>
    <t>WEF 9th  pillar</t>
  </si>
  <si>
    <t>31/03/2008</t>
  </si>
  <si>
    <t>30/06/2008</t>
  </si>
  <si>
    <t>31/12/2008</t>
  </si>
  <si>
    <t>31/03/2009</t>
  </si>
  <si>
    <t>30/06/2009</t>
  </si>
  <si>
    <t>30/09/2009</t>
  </si>
  <si>
    <t>31/12/2009</t>
  </si>
  <si>
    <t>31/03/2010</t>
  </si>
  <si>
    <t>30/06/2010</t>
  </si>
  <si>
    <t>30/09/2008</t>
  </si>
  <si>
    <t>30/09/2010</t>
  </si>
  <si>
    <t>31/12/2010</t>
  </si>
  <si>
    <t>WEF 5th  pillar: Rank</t>
  </si>
  <si>
    <t>WEF 5th  pillar: Score</t>
  </si>
  <si>
    <t>WEF 5th  pillar:  Rank</t>
  </si>
  <si>
    <t>WEF 5th  pillar:  Score</t>
  </si>
  <si>
    <t>Number of subscribers</t>
  </si>
  <si>
    <t>Estimated ARPU</t>
  </si>
  <si>
    <t>VA</t>
  </si>
  <si>
    <t>HCE</t>
  </si>
  <si>
    <t>CEE</t>
  </si>
  <si>
    <t>SCE</t>
  </si>
  <si>
    <t>VAIC</t>
  </si>
  <si>
    <t>YearQtr</t>
  </si>
  <si>
    <t>ROE</t>
  </si>
  <si>
    <t>ROA</t>
  </si>
  <si>
    <t>Revenue</t>
  </si>
  <si>
    <t>Subscribers</t>
  </si>
  <si>
    <t>ARPU</t>
  </si>
  <si>
    <t>'=(STC!K23+'MTC Zain'!K24+'Etihad Atheeb'!K24+'Etihad Etisalat (mobily)'!K24)*1000</t>
  </si>
  <si>
    <t>Number</t>
  </si>
  <si>
    <t>Salaries</t>
  </si>
  <si>
    <t>Equity</t>
  </si>
  <si>
    <t>Sample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</si>
  <si>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</si>
  <si>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</si>
  <si>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</si>
  <si>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</si>
  <si>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</si>
  <si>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</si>
  <si>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</si>
  <si>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</si>
  <si>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</si>
  <si>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</si>
  <si>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</si>
  <si>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O</t>
  </si>
  <si>
    <t>P</t>
  </si>
  <si>
    <t>g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</si>
  <si>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</si>
  <si>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</si>
  <si>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</si>
  <si>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</si>
  <si>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</si>
  <si>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</si>
  <si>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</si>
  <si>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</si>
  <si>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</si>
  <si>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</si>
  <si>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</si>
  <si>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</si>
  <si>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</si>
  <si>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</si>
  <si>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</si>
  <si>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</si>
  <si>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</si>
  <si>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J</t>
  </si>
  <si>
    <t>K</t>
  </si>
  <si>
    <t>CODE</t>
  </si>
  <si>
    <t>ICE</t>
  </si>
  <si>
    <t>Capex</t>
  </si>
  <si>
    <t>VA w Capex</t>
  </si>
  <si>
    <t>Leverage</t>
  </si>
  <si>
    <t>Mkt Cap.</t>
  </si>
  <si>
    <t>Ln(Mkt Cap.)</t>
  </si>
  <si>
    <t>EPS</t>
  </si>
  <si>
    <t>Shares Outstanding</t>
  </si>
  <si>
    <t>Capex (CIP)</t>
  </si>
  <si>
    <t>Size</t>
  </si>
  <si>
    <t>Total Assets - Capex</t>
  </si>
  <si>
    <r>
      <t xml:space="preserve">VAIC </t>
    </r>
    <r>
      <rPr>
        <sz val="8"/>
        <color theme="1"/>
        <rFont val="Calibri"/>
        <family val="2"/>
        <scheme val="minor"/>
      </rPr>
      <t>cap</t>
    </r>
  </si>
  <si>
    <r>
      <t>ICE</t>
    </r>
    <r>
      <rPr>
        <sz val="8"/>
        <color theme="1"/>
        <rFont val="Calibri"/>
        <family val="2"/>
        <scheme val="minor"/>
      </rPr>
      <t>cap</t>
    </r>
  </si>
  <si>
    <t>CIP / WIP</t>
  </si>
  <si>
    <t>Correlation</t>
  </si>
  <si>
    <r>
      <t xml:space="preserve">ARPU </t>
    </r>
    <r>
      <rPr>
        <vertAlign val="subscript"/>
        <sz val="10"/>
        <color theme="1"/>
        <rFont val="Calibri"/>
        <family val="2"/>
        <scheme val="minor"/>
      </rPr>
      <t>(predicted)</t>
    </r>
  </si>
  <si>
    <t>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</si>
</sst>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0"/>
  </numFmts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rgb="FF63831D"/>
      <name val="Calibri"/>
      <family val="2"/>
      <scheme val="minor"/>
    </font>
    <font>
      <sz val="9"/>
      <color rgb="FFC1080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bscript"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BBD3ED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50">
    <xf numFmtId="0" fontId="0" fillId="0" borderId="0" xfId="0"/>
    <xf numFmtId="0" fontId="3" fillId="4" borderId="0" xfId="3"/>
    <xf numFmtId="0" fontId="0" fillId="0" borderId="0" xfId="0"/>
    <xf numFmtId="0" fontId="0" fillId="0" borderId="0" xfId="0"/>
    <xf numFmtId="0" fontId="2" fillId="3" borderId="0" xfId="2"/>
    <xf numFmtId="0" fontId="1" fillId="2" borderId="0" xfId="1"/>
    <xf numFmtId="0" fontId="5" fillId="0" borderId="0" xfId="0" applyFont="1"/>
    <xf numFmtId="0" fontId="0" fillId="0" borderId="0" xfId="0"/>
    <xf numFmtId="0" fontId="0" fillId="0" borderId="0" xfId="0"/>
    <xf numFmtId="3" fontId="0" fillId="0" borderId="0" xfId="0" applyNumberFormat="1"/>
    <xf numFmtId="0" fontId="4" fillId="5" borderId="0" xfId="0" applyFont="1" applyFill="1"/>
    <xf numFmtId="0" fontId="0" fillId="0" borderId="0" xfId="0" applyFill="1"/>
    <xf numFmtId="14" fontId="8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indent="1"/>
    </xf>
    <xf numFmtId="3" fontId="6" fillId="0" borderId="1" xfId="0" applyNumberFormat="1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 vertical="center" wrapText="1" indent="1"/>
    </xf>
    <xf numFmtId="3" fontId="0" fillId="7" borderId="0" xfId="0" applyNumberFormat="1" applyFill="1"/>
    <xf numFmtId="0" fontId="0" fillId="7" borderId="0" xfId="0" applyFill="1"/>
    <xf numFmtId="0" fontId="1" fillId="0" borderId="0" xfId="1" applyFill="1"/>
    <xf numFmtId="3" fontId="0" fillId="0" borderId="0" xfId="0" applyNumberFormat="1" applyFill="1"/>
    <xf numFmtId="3" fontId="10" fillId="6" borderId="1" xfId="0" applyNumberFormat="1" applyFont="1" applyFill="1" applyBorder="1" applyAlignment="1">
      <alignment horizontal="right" wrapText="1"/>
    </xf>
    <xf numFmtId="0" fontId="10" fillId="0" borderId="0" xfId="0" applyFont="1"/>
    <xf numFmtId="3" fontId="11" fillId="0" borderId="0" xfId="0" applyNumberFormat="1" applyFont="1" applyAlignment="1">
      <alignment horizontal="right"/>
    </xf>
    <xf numFmtId="3" fontId="10" fillId="0" borderId="1" xfId="0" applyNumberFormat="1" applyFont="1" applyFill="1" applyBorder="1" applyAlignment="1">
      <alignment horizontal="right" wrapText="1"/>
    </xf>
    <xf numFmtId="3" fontId="11" fillId="0" borderId="0" xfId="0" applyNumberFormat="1" applyFont="1" applyFill="1" applyAlignment="1">
      <alignment horizontal="right"/>
    </xf>
    <xf numFmtId="3" fontId="10" fillId="0" borderId="1" xfId="0" applyNumberFormat="1" applyFont="1" applyFill="1" applyBorder="1" applyAlignment="1">
      <alignment horizontal="left" wrapText="1"/>
    </xf>
    <xf numFmtId="0" fontId="11" fillId="0" borderId="0" xfId="0" applyFont="1" applyFill="1" applyAlignment="1">
      <alignment horizontal="left"/>
    </xf>
    <xf numFmtId="0" fontId="3" fillId="8" borderId="0" xfId="3" applyFill="1"/>
    <xf numFmtId="0" fontId="11" fillId="0" borderId="0" xfId="0" applyFont="1" applyFill="1"/>
    <xf numFmtId="2" fontId="12" fillId="0" borderId="0" xfId="0" applyNumberFormat="1" applyFont="1" applyFill="1" applyAlignment="1"/>
    <xf numFmtId="0" fontId="10" fillId="0" borderId="1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0" fontId="10" fillId="0" borderId="0" xfId="0" applyNumberFormat="1" applyFont="1" applyFill="1" applyBorder="1" applyAlignment="1">
      <alignment horizontal="right" wrapText="1"/>
    </xf>
    <xf numFmtId="164" fontId="0" fillId="0" borderId="0" xfId="0" applyNumberFormat="1"/>
    <xf numFmtId="164" fontId="0" fillId="0" borderId="0" xfId="0" applyNumberFormat="1" applyFill="1"/>
    <xf numFmtId="3" fontId="10" fillId="6" borderId="0" xfId="0" applyNumberFormat="1" applyFont="1" applyFill="1" applyBorder="1" applyAlignment="1">
      <alignment horizontal="right" wrapText="1"/>
    </xf>
    <xf numFmtId="3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164" fontId="10" fillId="0" borderId="0" xfId="0" applyNumberFormat="1" applyFont="1" applyFill="1" applyBorder="1" applyAlignment="1">
      <alignment horizontal="right" wrapText="1"/>
    </xf>
    <xf numFmtId="2" fontId="10" fillId="0" borderId="0" xfId="0" applyNumberFormat="1" applyFont="1" applyFill="1" applyAlignment="1"/>
    <xf numFmtId="3" fontId="0" fillId="0" borderId="0" xfId="0" applyNumberFormat="1" applyFill="1" applyAlignment="1">
      <alignment horizontal="right" wrapText="1"/>
    </xf>
    <xf numFmtId="0" fontId="11" fillId="0" borderId="0" xfId="0" applyFont="1" applyFill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" fontId="10" fillId="0" borderId="0" xfId="0" applyNumberFormat="1" applyFont="1" applyFill="1" applyAlignment="1">
      <alignment horizontal="right"/>
    </xf>
    <xf numFmtId="3" fontId="0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3" fontId="5" fillId="0" borderId="1" xfId="0" applyNumberFormat="1" applyFont="1" applyFill="1" applyBorder="1" applyAlignment="1">
      <alignment horizontal="right" indent="1"/>
    </xf>
    <xf numFmtId="2" fontId="5" fillId="0" borderId="1" xfId="0" applyNumberFormat="1" applyFont="1" applyFill="1" applyBorder="1" applyAlignment="1">
      <alignment horizontal="right" indent="1"/>
    </xf>
    <xf numFmtId="2" fontId="0" fillId="0" borderId="0" xfId="0" applyNumberFormat="1"/>
    <xf numFmtId="165" fontId="0" fillId="0" borderId="0" xfId="4" applyNumberFormat="1" applyFont="1" applyAlignment="1">
      <alignment horizontal="right"/>
    </xf>
    <xf numFmtId="165" fontId="0" fillId="0" borderId="0" xfId="4" applyNumberFormat="1" applyFont="1"/>
    <xf numFmtId="43" fontId="0" fillId="0" borderId="0" xfId="4" applyFont="1"/>
    <xf numFmtId="43" fontId="0" fillId="0" borderId="0" xfId="4" applyFont="1" applyAlignment="1">
      <alignment horizontal="right"/>
    </xf>
    <xf numFmtId="165" fontId="0" fillId="0" borderId="0" xfId="4" quotePrefix="1" applyNumberFormat="1" applyFont="1"/>
    <xf numFmtId="0" fontId="0" fillId="9" borderId="0" xfId="0" applyFill="1"/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quotePrefix="1"/>
    <xf numFmtId="0" fontId="14" fillId="0" borderId="0" xfId="0" quotePrefix="1" applyFont="1"/>
    <xf numFmtId="165" fontId="14" fillId="0" borderId="0" xfId="4" quotePrefix="1" applyNumberFormat="1" applyFont="1"/>
    <xf numFmtId="1" fontId="0" fillId="0" borderId="0" xfId="0" applyNumberFormat="1" applyAlignment="1">
      <alignment horizontal="right"/>
    </xf>
    <xf numFmtId="1" fontId="0" fillId="0" borderId="0" xfId="0" applyNumberFormat="1"/>
    <xf numFmtId="9" fontId="0" fillId="0" borderId="0" xfId="5" applyFont="1" applyAlignment="1">
      <alignment horizontal="center"/>
    </xf>
    <xf numFmtId="9" fontId="0" fillId="0" borderId="0" xfId="0" applyNumberFormat="1" applyAlignment="1">
      <alignment horizontal="center"/>
    </xf>
    <xf numFmtId="0" fontId="3" fillId="4" borderId="0" xfId="3" applyAlignment="1">
      <alignment horizontal="right"/>
    </xf>
    <xf numFmtId="0" fontId="11" fillId="0" borderId="0" xfId="0" applyFont="1" applyAlignment="1">
      <alignment horizontal="right"/>
    </xf>
    <xf numFmtId="2" fontId="12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165" fontId="0" fillId="0" borderId="0" xfId="0" applyNumberFormat="1"/>
    <xf numFmtId="0" fontId="10" fillId="6" borderId="1" xfId="0" applyFont="1" applyFill="1" applyBorder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12" fillId="6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2" fontId="5" fillId="0" borderId="1" xfId="0" applyNumberFormat="1" applyFont="1" applyFill="1" applyBorder="1" applyAlignment="1"/>
    <xf numFmtId="0" fontId="9" fillId="0" borderId="0" xfId="0" applyFont="1"/>
    <xf numFmtId="165" fontId="9" fillId="0" borderId="0" xfId="4" applyNumberFormat="1" applyFont="1"/>
    <xf numFmtId="3" fontId="5" fillId="0" borderId="1" xfId="0" applyNumberFormat="1" applyFont="1" applyFill="1" applyBorder="1" applyAlignment="1"/>
    <xf numFmtId="0" fontId="3" fillId="8" borderId="0" xfId="3" applyFill="1" applyAlignment="1">
      <alignment horizontal="right"/>
    </xf>
    <xf numFmtId="0" fontId="2" fillId="3" borderId="0" xfId="2" applyAlignment="1">
      <alignment horizontal="right"/>
    </xf>
    <xf numFmtId="0" fontId="1" fillId="2" borderId="0" xfId="1" applyAlignment="1">
      <alignment horizontal="right"/>
    </xf>
    <xf numFmtId="0" fontId="9" fillId="0" borderId="0" xfId="0" applyFont="1" applyFill="1"/>
    <xf numFmtId="165" fontId="9" fillId="0" borderId="0" xfId="4" applyNumberFormat="1" applyFont="1" applyFill="1"/>
    <xf numFmtId="3" fontId="6" fillId="0" borderId="1" xfId="0" applyNumberFormat="1" applyFont="1" applyFill="1" applyBorder="1" applyAlignment="1">
      <alignment horizontal="right" wrapText="1"/>
    </xf>
    <xf numFmtId="0" fontId="0" fillId="0" borderId="0" xfId="0" applyFont="1"/>
    <xf numFmtId="3" fontId="0" fillId="6" borderId="1" xfId="0" applyNumberFormat="1" applyFont="1" applyFill="1" applyBorder="1" applyAlignment="1">
      <alignment horizontal="right" wrapText="1"/>
    </xf>
    <xf numFmtId="3" fontId="11" fillId="6" borderId="1" xfId="0" applyNumberFormat="1" applyFont="1" applyFill="1" applyBorder="1" applyAlignment="1">
      <alignment horizontal="right" wrapText="1"/>
    </xf>
    <xf numFmtId="3" fontId="11" fillId="6" borderId="1" xfId="0" applyNumberFormat="1" applyFont="1" applyFill="1" applyBorder="1" applyAlignment="1">
      <alignment wrapText="1"/>
    </xf>
    <xf numFmtId="165" fontId="0" fillId="9" borderId="0" xfId="4" applyNumberFormat="1" applyFont="1" applyFill="1"/>
    <xf numFmtId="3" fontId="0" fillId="9" borderId="1" xfId="0" applyNumberFormat="1" applyFont="1" applyFill="1" applyBorder="1" applyAlignment="1">
      <alignment horizontal="right" wrapText="1"/>
    </xf>
    <xf numFmtId="3" fontId="11" fillId="9" borderId="1" xfId="0" applyNumberFormat="1" applyFont="1" applyFill="1" applyBorder="1" applyAlignment="1">
      <alignment horizontal="right" wrapText="1"/>
    </xf>
    <xf numFmtId="3" fontId="11" fillId="9" borderId="1" xfId="0" applyNumberFormat="1" applyFont="1" applyFill="1" applyBorder="1" applyAlignment="1">
      <alignment wrapText="1"/>
    </xf>
    <xf numFmtId="0" fontId="0" fillId="9" borderId="0" xfId="0" applyFont="1" applyFill="1"/>
    <xf numFmtId="3" fontId="0" fillId="9" borderId="0" xfId="0" applyNumberFormat="1" applyFont="1" applyFill="1"/>
    <xf numFmtId="3" fontId="0" fillId="9" borderId="0" xfId="0" applyNumberFormat="1" applyFont="1" applyFill="1" applyAlignment="1">
      <alignment horizontal="right" wrapText="1"/>
    </xf>
    <xf numFmtId="4" fontId="9" fillId="9" borderId="0" xfId="0" applyNumberFormat="1" applyFont="1" applyFill="1"/>
    <xf numFmtId="4" fontId="9" fillId="9" borderId="0" xfId="0" applyNumberFormat="1" applyFont="1" applyFill="1" applyAlignment="1">
      <alignment horizontal="right" wrapText="1"/>
    </xf>
    <xf numFmtId="0" fontId="9" fillId="9" borderId="0" xfId="0" applyFont="1" applyFill="1"/>
    <xf numFmtId="2" fontId="5" fillId="0" borderId="0" xfId="0" applyNumberFormat="1" applyFont="1"/>
    <xf numFmtId="2" fontId="10" fillId="0" borderId="0" xfId="0" applyNumberFormat="1" applyFont="1" applyAlignment="1">
      <alignment horizontal="right"/>
    </xf>
    <xf numFmtId="2" fontId="10" fillId="6" borderId="0" xfId="0" applyNumberFormat="1" applyFont="1" applyFill="1" applyAlignment="1">
      <alignment horizontal="right" wrapText="1"/>
    </xf>
    <xf numFmtId="2" fontId="10" fillId="0" borderId="0" xfId="0" applyNumberFormat="1" applyFont="1" applyFill="1" applyBorder="1" applyAlignment="1">
      <alignment horizontal="right" wrapText="1"/>
    </xf>
    <xf numFmtId="2" fontId="9" fillId="0" borderId="0" xfId="0" applyNumberFormat="1" applyFont="1"/>
    <xf numFmtId="165" fontId="5" fillId="0" borderId="1" xfId="4" applyNumberFormat="1" applyFont="1" applyFill="1" applyBorder="1" applyAlignment="1">
      <alignment horizontal="right" indent="1"/>
    </xf>
    <xf numFmtId="165" fontId="5" fillId="0" borderId="1" xfId="0" applyNumberFormat="1" applyFont="1" applyFill="1" applyBorder="1" applyAlignment="1">
      <alignment horizontal="left" indent="1"/>
    </xf>
    <xf numFmtId="165" fontId="11" fillId="0" borderId="0" xfId="4" applyNumberFormat="1" applyFont="1" applyAlignment="1">
      <alignment horizontal="right"/>
    </xf>
    <xf numFmtId="165" fontId="11" fillId="0" borderId="1" xfId="4" applyNumberFormat="1" applyFont="1" applyFill="1" applyBorder="1" applyAlignment="1">
      <alignment horizontal="right" wrapText="1"/>
    </xf>
    <xf numFmtId="165" fontId="11" fillId="6" borderId="1" xfId="4" applyNumberFormat="1" applyFont="1" applyFill="1" applyBorder="1" applyAlignment="1">
      <alignment horizontal="right" wrapText="1"/>
    </xf>
    <xf numFmtId="165" fontId="11" fillId="9" borderId="0" xfId="4" applyNumberFormat="1" applyFont="1" applyFill="1" applyAlignment="1">
      <alignment horizontal="right"/>
    </xf>
    <xf numFmtId="165" fontId="11" fillId="9" borderId="1" xfId="4" applyNumberFormat="1" applyFont="1" applyFill="1" applyBorder="1" applyAlignment="1">
      <alignment horizontal="right" wrapText="1"/>
    </xf>
    <xf numFmtId="165" fontId="11" fillId="0" borderId="0" xfId="4" applyNumberFormat="1" applyFont="1" applyFill="1" applyAlignment="1">
      <alignment horizontal="right"/>
    </xf>
    <xf numFmtId="165" fontId="11" fillId="0" borderId="0" xfId="4" applyNumberFormat="1" applyFont="1" applyAlignment="1"/>
    <xf numFmtId="165" fontId="11" fillId="0" borderId="1" xfId="4" applyNumberFormat="1" applyFont="1" applyFill="1" applyBorder="1" applyAlignment="1">
      <alignment wrapText="1"/>
    </xf>
    <xf numFmtId="165" fontId="11" fillId="6" borderId="1" xfId="4" applyNumberFormat="1" applyFont="1" applyFill="1" applyBorder="1" applyAlignment="1">
      <alignment wrapText="1"/>
    </xf>
    <xf numFmtId="165" fontId="0" fillId="0" borderId="0" xfId="4" applyNumberFormat="1" applyFont="1" applyAlignment="1"/>
    <xf numFmtId="165" fontId="11" fillId="0" borderId="0" xfId="4" applyNumberFormat="1" applyFont="1" applyFill="1" applyAlignment="1"/>
    <xf numFmtId="0" fontId="5" fillId="9" borderId="1" xfId="0" applyFont="1" applyFill="1" applyBorder="1" applyAlignment="1">
      <alignment horizontal="left" indent="1"/>
    </xf>
    <xf numFmtId="0" fontId="8" fillId="9" borderId="0" xfId="0" applyFont="1" applyFill="1" applyAlignment="1">
      <alignment horizontal="right" vertical="center" wrapText="1" indent="1"/>
    </xf>
    <xf numFmtId="3" fontId="11" fillId="0" borderId="1" xfId="0" applyNumberFormat="1" applyFont="1" applyFill="1" applyBorder="1" applyAlignment="1">
      <alignment horizontal="right" wrapText="1"/>
    </xf>
    <xf numFmtId="3" fontId="11" fillId="0" borderId="0" xfId="0" applyNumberFormat="1" applyFont="1" applyFill="1" applyBorder="1" applyAlignment="1">
      <alignment horizontal="right" wrapText="1"/>
    </xf>
    <xf numFmtId="2" fontId="9" fillId="0" borderId="0" xfId="0" applyNumberFormat="1" applyFont="1" applyAlignment="1">
      <alignment horizontal="right"/>
    </xf>
    <xf numFmtId="0" fontId="4" fillId="9" borderId="0" xfId="0" applyFont="1" applyFill="1"/>
    <xf numFmtId="0" fontId="3" fillId="9" borderId="0" xfId="3" applyFill="1"/>
    <xf numFmtId="0" fontId="11" fillId="9" borderId="0" xfId="0" applyFont="1" applyFill="1" applyAlignment="1">
      <alignment horizontal="right"/>
    </xf>
    <xf numFmtId="0" fontId="10" fillId="9" borderId="0" xfId="0" applyFont="1" applyFill="1" applyAlignment="1">
      <alignment horizontal="right"/>
    </xf>
    <xf numFmtId="2" fontId="9" fillId="9" borderId="0" xfId="0" applyNumberFormat="1" applyFont="1" applyFill="1" applyAlignment="1">
      <alignment horizontal="right"/>
    </xf>
    <xf numFmtId="3" fontId="10" fillId="9" borderId="1" xfId="0" applyNumberFormat="1" applyFont="1" applyFill="1" applyBorder="1" applyAlignment="1">
      <alignment horizontal="right" wrapText="1"/>
    </xf>
    <xf numFmtId="1" fontId="10" fillId="9" borderId="0" xfId="0" applyNumberFormat="1" applyFont="1" applyFill="1" applyAlignment="1">
      <alignment horizontal="right"/>
    </xf>
    <xf numFmtId="0" fontId="10" fillId="9" borderId="1" xfId="0" applyNumberFormat="1" applyFont="1" applyFill="1" applyBorder="1" applyAlignment="1">
      <alignment horizontal="right" wrapText="1"/>
    </xf>
    <xf numFmtId="3" fontId="6" fillId="9" borderId="1" xfId="0" applyNumberFormat="1" applyFont="1" applyFill="1" applyBorder="1" applyAlignment="1">
      <alignment horizontal="center" wrapText="1"/>
    </xf>
    <xf numFmtId="165" fontId="5" fillId="9" borderId="1" xfId="4" applyNumberFormat="1" applyFont="1" applyFill="1" applyBorder="1" applyAlignment="1">
      <alignment horizontal="right" indent="1"/>
    </xf>
    <xf numFmtId="2" fontId="5" fillId="9" borderId="1" xfId="0" applyNumberFormat="1" applyFont="1" applyFill="1" applyBorder="1" applyAlignment="1">
      <alignment horizontal="right" indent="1"/>
    </xf>
    <xf numFmtId="14" fontId="8" fillId="9" borderId="0" xfId="0" applyNumberFormat="1" applyFont="1" applyFill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left" indent="1"/>
    </xf>
    <xf numFmtId="2" fontId="5" fillId="9" borderId="1" xfId="0" applyNumberFormat="1" applyFont="1" applyFill="1" applyBorder="1" applyAlignment="1"/>
    <xf numFmtId="165" fontId="9" fillId="9" borderId="0" xfId="4" applyNumberFormat="1" applyFont="1" applyFill="1"/>
    <xf numFmtId="3" fontId="7" fillId="9" borderId="1" xfId="0" applyNumberFormat="1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wrapText="1"/>
    </xf>
    <xf numFmtId="3" fontId="0" fillId="0" borderId="0" xfId="0" quotePrefix="1" applyNumberFormat="1"/>
    <xf numFmtId="166" fontId="9" fillId="0" borderId="0" xfId="0" applyNumberFormat="1" applyFont="1" applyAlignment="1"/>
    <xf numFmtId="0" fontId="5" fillId="0" borderId="1" xfId="0" applyFont="1" applyFill="1" applyBorder="1" applyAlignment="1">
      <alignment horizontal="right" indent="1"/>
    </xf>
    <xf numFmtId="2" fontId="9" fillId="0" borderId="0" xfId="0" applyNumberFormat="1" applyFont="1" applyAlignment="1"/>
    <xf numFmtId="2" fontId="0" fillId="0" borderId="0" xfId="0" applyNumberFormat="1" applyAlignment="1">
      <alignment horizontal="center"/>
    </xf>
  </cellXfs>
  <cellStyles count="6">
    <cellStyle name="Bad" xfId="2" builtinId="27"/>
    <cellStyle name="Comma" xfId="4" builtinId="3"/>
    <cellStyle name="Good" xfId="1" builtinId="26"/>
    <cellStyle name="Neutral" xfId="3" builtinId="28"/>
    <cellStyle name="Normal" xfId="0" builtinId="0"/>
    <cellStyle name="Percent" xfId="5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00140997348706E-2"/>
          <c:y val="5.1400554097404488E-2"/>
          <c:w val="0.86557722346263688"/>
          <c:h val="0.74958552055993"/>
        </c:manualLayout>
      </c:layout>
      <c:lineChart>
        <c:grouping val="standard"/>
        <c:varyColors val="0"/>
        <c:ser>
          <c:idx val="1"/>
          <c:order val="0"/>
          <c:tx>
            <c:strRef>
              <c:f>'SPSS Format'!$Y$1</c:f>
              <c:strCache>
                <c:ptCount val="1"/>
                <c:pt idx="0">
                  <c:v>ARPU</c:v>
                </c:pt>
              </c:strCache>
            </c:strRef>
          </c:tx>
          <c:marker>
            <c:symbol val="none"/>
          </c:marker>
          <c:cat>
            <c:numRef>
              <c:f>'SPSS Format'!$A$2:$A$33</c:f>
              <c:numCache>
                <c:formatCode>General</c:formatCode>
                <c:ptCount val="32"/>
                <c:pt idx="0">
                  <c:v>200801</c:v>
                </c:pt>
                <c:pt idx="1">
                  <c:v>200802</c:v>
                </c:pt>
                <c:pt idx="2">
                  <c:v>200803</c:v>
                </c:pt>
                <c:pt idx="3">
                  <c:v>200804</c:v>
                </c:pt>
                <c:pt idx="4">
                  <c:v>200901</c:v>
                </c:pt>
                <c:pt idx="5">
                  <c:v>200902</c:v>
                </c:pt>
                <c:pt idx="6">
                  <c:v>200903</c:v>
                </c:pt>
                <c:pt idx="7">
                  <c:v>200904</c:v>
                </c:pt>
                <c:pt idx="8">
                  <c:v>201001</c:v>
                </c:pt>
                <c:pt idx="9">
                  <c:v>201002</c:v>
                </c:pt>
                <c:pt idx="10">
                  <c:v>201003</c:v>
                </c:pt>
                <c:pt idx="11">
                  <c:v>201004</c:v>
                </c:pt>
                <c:pt idx="12">
                  <c:v>201101</c:v>
                </c:pt>
                <c:pt idx="13">
                  <c:v>201102</c:v>
                </c:pt>
                <c:pt idx="14">
                  <c:v>201103</c:v>
                </c:pt>
                <c:pt idx="15">
                  <c:v>201104</c:v>
                </c:pt>
                <c:pt idx="16">
                  <c:v>201201</c:v>
                </c:pt>
                <c:pt idx="17">
                  <c:v>201202</c:v>
                </c:pt>
                <c:pt idx="18">
                  <c:v>201203</c:v>
                </c:pt>
                <c:pt idx="19">
                  <c:v>201204</c:v>
                </c:pt>
                <c:pt idx="20">
                  <c:v>201301</c:v>
                </c:pt>
                <c:pt idx="21">
                  <c:v>201302</c:v>
                </c:pt>
                <c:pt idx="22">
                  <c:v>201303</c:v>
                </c:pt>
                <c:pt idx="23">
                  <c:v>201304</c:v>
                </c:pt>
                <c:pt idx="24">
                  <c:v>201401</c:v>
                </c:pt>
                <c:pt idx="25">
                  <c:v>201402</c:v>
                </c:pt>
                <c:pt idx="26">
                  <c:v>201403</c:v>
                </c:pt>
                <c:pt idx="27">
                  <c:v>201404</c:v>
                </c:pt>
                <c:pt idx="28">
                  <c:v>201501</c:v>
                </c:pt>
                <c:pt idx="29">
                  <c:v>201502</c:v>
                </c:pt>
                <c:pt idx="30">
                  <c:v>201503</c:v>
                </c:pt>
                <c:pt idx="31">
                  <c:v>201504</c:v>
                </c:pt>
              </c:numCache>
            </c:numRef>
          </c:cat>
          <c:val>
            <c:numRef>
              <c:f>'SPSS Format'!$Y$2:$Y$33</c:f>
              <c:numCache>
                <c:formatCode>0.00</c:formatCode>
                <c:ptCount val="32"/>
                <c:pt idx="0">
                  <c:v>193.00876666666667</c:v>
                </c:pt>
                <c:pt idx="1">
                  <c:v>215.02371875</c:v>
                </c:pt>
                <c:pt idx="2">
                  <c:v>210.93005882352941</c:v>
                </c:pt>
                <c:pt idx="3">
                  <c:v>145.39638888888888</c:v>
                </c:pt>
                <c:pt idx="4">
                  <c:v>169.66080213903743</c:v>
                </c:pt>
                <c:pt idx="5">
                  <c:v>144.18974811083123</c:v>
                </c:pt>
                <c:pt idx="6">
                  <c:v>138.15401459854016</c:v>
                </c:pt>
                <c:pt idx="7">
                  <c:v>119.42511160714285</c:v>
                </c:pt>
                <c:pt idx="8">
                  <c:v>210.99344680851064</c:v>
                </c:pt>
                <c:pt idx="9">
                  <c:v>217.15944680851064</c:v>
                </c:pt>
                <c:pt idx="10">
                  <c:v>229.78911522633746</c:v>
                </c:pt>
                <c:pt idx="11">
                  <c:v>215.58980620155037</c:v>
                </c:pt>
                <c:pt idx="12">
                  <c:v>201.80031894934334</c:v>
                </c:pt>
                <c:pt idx="13">
                  <c:v>212.3292700729927</c:v>
                </c:pt>
                <c:pt idx="14">
                  <c:v>206.69222816399287</c:v>
                </c:pt>
                <c:pt idx="15">
                  <c:v>208.50240223463686</c:v>
                </c:pt>
                <c:pt idx="16">
                  <c:v>226.18454880294658</c:v>
                </c:pt>
                <c:pt idx="17">
                  <c:v>174.08225688073395</c:v>
                </c:pt>
                <c:pt idx="18">
                  <c:v>234.80909604519775</c:v>
                </c:pt>
                <c:pt idx="19">
                  <c:v>229.40871698113207</c:v>
                </c:pt>
                <c:pt idx="20">
                  <c:v>198.64809615384615</c:v>
                </c:pt>
                <c:pt idx="21">
                  <c:v>234.17523076923078</c:v>
                </c:pt>
                <c:pt idx="22">
                  <c:v>235.82760784313726</c:v>
                </c:pt>
                <c:pt idx="23">
                  <c:v>255.22541176470588</c:v>
                </c:pt>
                <c:pt idx="24">
                  <c:v>212.25568000000001</c:v>
                </c:pt>
                <c:pt idx="25">
                  <c:v>227.70378431372549</c:v>
                </c:pt>
                <c:pt idx="26">
                  <c:v>230.55344230769231</c:v>
                </c:pt>
                <c:pt idx="27">
                  <c:v>235.43535849056605</c:v>
                </c:pt>
                <c:pt idx="28">
                  <c:v>209.87160231660232</c:v>
                </c:pt>
                <c:pt idx="29">
                  <c:v>201.96179389312977</c:v>
                </c:pt>
                <c:pt idx="30">
                  <c:v>213.04020754716981</c:v>
                </c:pt>
                <c:pt idx="31">
                  <c:v>218.47496226415095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57F-4E2D-8596-55E6BBF6E324}"/>
            </c:ext>
          </c:extLst>
        </c:ser>
        <c:ser>
          <c:idx val="0"/>
          <c:order val="1"/>
          <c:tx>
            <c:strRef>
              <c:f>'SPSS Format'!$X$1</c:f>
              <c:strCache>
                <c:ptCount val="1"/>
                <c:pt idx="0">
                  <c:v>ARPU (predicted)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'SPSS Format'!$A$2:$A$33</c:f>
              <c:numCache>
                <c:formatCode>General</c:formatCode>
                <c:ptCount val="32"/>
                <c:pt idx="0">
                  <c:v>200801</c:v>
                </c:pt>
                <c:pt idx="1">
                  <c:v>200802</c:v>
                </c:pt>
                <c:pt idx="2">
                  <c:v>200803</c:v>
                </c:pt>
                <c:pt idx="3">
                  <c:v>200804</c:v>
                </c:pt>
                <c:pt idx="4">
                  <c:v>200901</c:v>
                </c:pt>
                <c:pt idx="5">
                  <c:v>200902</c:v>
                </c:pt>
                <c:pt idx="6">
                  <c:v>200903</c:v>
                </c:pt>
                <c:pt idx="7">
                  <c:v>200904</c:v>
                </c:pt>
                <c:pt idx="8">
                  <c:v>201001</c:v>
                </c:pt>
                <c:pt idx="9">
                  <c:v>201002</c:v>
                </c:pt>
                <c:pt idx="10">
                  <c:v>201003</c:v>
                </c:pt>
                <c:pt idx="11">
                  <c:v>201004</c:v>
                </c:pt>
                <c:pt idx="12">
                  <c:v>201101</c:v>
                </c:pt>
                <c:pt idx="13">
                  <c:v>201102</c:v>
                </c:pt>
                <c:pt idx="14">
                  <c:v>201103</c:v>
                </c:pt>
                <c:pt idx="15">
                  <c:v>201104</c:v>
                </c:pt>
                <c:pt idx="16">
                  <c:v>201201</c:v>
                </c:pt>
                <c:pt idx="17">
                  <c:v>201202</c:v>
                </c:pt>
                <c:pt idx="18">
                  <c:v>201203</c:v>
                </c:pt>
                <c:pt idx="19">
                  <c:v>201204</c:v>
                </c:pt>
                <c:pt idx="20">
                  <c:v>201301</c:v>
                </c:pt>
                <c:pt idx="21">
                  <c:v>201302</c:v>
                </c:pt>
                <c:pt idx="22">
                  <c:v>201303</c:v>
                </c:pt>
                <c:pt idx="23">
                  <c:v>201304</c:v>
                </c:pt>
                <c:pt idx="24">
                  <c:v>201401</c:v>
                </c:pt>
                <c:pt idx="25">
                  <c:v>201402</c:v>
                </c:pt>
                <c:pt idx="26">
                  <c:v>201403</c:v>
                </c:pt>
                <c:pt idx="27">
                  <c:v>201404</c:v>
                </c:pt>
                <c:pt idx="28">
                  <c:v>201501</c:v>
                </c:pt>
                <c:pt idx="29">
                  <c:v>201502</c:v>
                </c:pt>
                <c:pt idx="30">
                  <c:v>201503</c:v>
                </c:pt>
                <c:pt idx="31">
                  <c:v>201504</c:v>
                </c:pt>
              </c:numCache>
            </c:numRef>
          </c:cat>
          <c:val>
            <c:numRef>
              <c:f>'SPSS Format'!$X$2:$X$33</c:f>
              <c:numCache>
                <c:formatCode>_(* #,##0.00_);_(* \(#,##0.00\);_(* "-"??_);_(@_)</c:formatCode>
                <c:ptCount val="32"/>
                <c:pt idx="0">
                  <c:v>189.79534893938296</c:v>
                </c:pt>
                <c:pt idx="1">
                  <c:v>181.81732612054412</c:v>
                </c:pt>
                <c:pt idx="2">
                  <c:v>200.54118328687446</c:v>
                </c:pt>
                <c:pt idx="3">
                  <c:v>149.3542290576143</c:v>
                </c:pt>
                <c:pt idx="4">
                  <c:v>169.27691212735948</c:v>
                </c:pt>
                <c:pt idx="5">
                  <c:v>149.8099820313177</c:v>
                </c:pt>
                <c:pt idx="6">
                  <c:v>150.3886608163036</c:v>
                </c:pt>
                <c:pt idx="7">
                  <c:v>152.56239153609238</c:v>
                </c:pt>
                <c:pt idx="8">
                  <c:v>198.7870010698997</c:v>
                </c:pt>
                <c:pt idx="9">
                  <c:v>205.07367494723775</c:v>
                </c:pt>
                <c:pt idx="10">
                  <c:v>208.53077981409177</c:v>
                </c:pt>
                <c:pt idx="11">
                  <c:v>208.26980926053943</c:v>
                </c:pt>
                <c:pt idx="12">
                  <c:v>218.8710910639056</c:v>
                </c:pt>
                <c:pt idx="13">
                  <c:v>217.34521059967761</c:v>
                </c:pt>
                <c:pt idx="14">
                  <c:v>220.23379796246684</c:v>
                </c:pt>
                <c:pt idx="15">
                  <c:v>212.04202954968076</c:v>
                </c:pt>
                <c:pt idx="16">
                  <c:v>216.42745247853651</c:v>
                </c:pt>
                <c:pt idx="17">
                  <c:v>183.0550493685063</c:v>
                </c:pt>
                <c:pt idx="18">
                  <c:v>210.29119357243428</c:v>
                </c:pt>
                <c:pt idx="19">
                  <c:v>249.69350022430467</c:v>
                </c:pt>
                <c:pt idx="20">
                  <c:v>223.68394657133359</c:v>
                </c:pt>
                <c:pt idx="21">
                  <c:v>252.46092066216542</c:v>
                </c:pt>
                <c:pt idx="22">
                  <c:v>231.11976303924402</c:v>
                </c:pt>
                <c:pt idx="23">
                  <c:v>248.01708943577003</c:v>
                </c:pt>
                <c:pt idx="24">
                  <c:v>222.39941034360811</c:v>
                </c:pt>
                <c:pt idx="25">
                  <c:v>225.94113078103814</c:v>
                </c:pt>
                <c:pt idx="26">
                  <c:v>231.29015424123068</c:v>
                </c:pt>
                <c:pt idx="27">
                  <c:v>218.08038232865073</c:v>
                </c:pt>
                <c:pt idx="28">
                  <c:v>209.64795952040726</c:v>
                </c:pt>
                <c:pt idx="29">
                  <c:v>198.67414076619386</c:v>
                </c:pt>
                <c:pt idx="30">
                  <c:v>205.77577507425872</c:v>
                </c:pt>
                <c:pt idx="31">
                  <c:v>206.06013308453288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57F-4E2D-8596-55E6BBF6E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867840"/>
        <c:axId val="180869376"/>
      </c:lineChart>
      <c:catAx>
        <c:axId val="18086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869376"/>
        <c:crosses val="autoZero"/>
        <c:auto val="1"/>
        <c:lblAlgn val="ctr"/>
        <c:lblOffset val="100"/>
        <c:noMultiLvlLbl val="0"/>
      </c:catAx>
      <c:valAx>
        <c:axId val="18086937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80867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851965409988018"/>
          <c:y val="0.93533640608002344"/>
          <c:w val="0.4111648383883616"/>
          <c:h val="5.781914036536485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19055</xdr:colOff>
      <xdr:row>5</xdr:row>
      <xdr:rowOff>28580</xdr:rowOff>
    </xdr:from>
    <xdr:to>
      <xdr:col>37</xdr:col>
      <xdr:colOff>314324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1"/>
  <sheetViews>
    <sheetView workbookViewId="0">
      <pane xSplit="1" ySplit="3" topLeftCell="Z19" activePane="bottomRight" state="frozenSplit"/>
      <selection pane="topRight" activeCell="D1" sqref="D1"/>
      <selection pane="bottomLeft" activeCell="A3" sqref="A3"/>
      <selection pane="bottomRight" activeCell="B2" sqref="B2"/>
    </sheetView>
  </sheetViews>
  <sheetFormatPr defaultRowHeight="15" x14ac:dyDescent="0.25"/>
  <cols>
    <col min="1" max="1" width="36.7109375" customWidth="1"/>
    <col min="2" max="13" width="14.28515625" style="8" customWidth="1"/>
    <col min="14" max="14" width="12" customWidth="1"/>
    <col min="15" max="15" width="11" customWidth="1"/>
    <col min="16" max="16" width="12" customWidth="1"/>
    <col min="17" max="17" width="12" bestFit="1" customWidth="1"/>
    <col min="18" max="19" width="10.85546875" customWidth="1"/>
    <col min="20" max="20" width="11.28515625" customWidth="1"/>
    <col min="21" max="21" width="10.5703125" bestFit="1" customWidth="1"/>
    <col min="22" max="22" width="11.42578125" customWidth="1"/>
    <col min="23" max="23" width="13" customWidth="1"/>
    <col min="24" max="24" width="12.140625" customWidth="1"/>
    <col min="25" max="25" width="12.7109375" customWidth="1"/>
    <col min="26" max="26" width="12" customWidth="1"/>
    <col min="27" max="27" width="11.7109375" customWidth="1"/>
    <col min="28" max="28" width="12" customWidth="1"/>
    <col min="29" max="29" width="12.7109375" customWidth="1"/>
    <col min="30" max="30" width="12.140625" customWidth="1"/>
    <col min="31" max="31" width="11.5703125" customWidth="1"/>
    <col min="32" max="32" width="13" customWidth="1"/>
    <col min="33" max="33" width="11.5703125" customWidth="1"/>
    <col min="34" max="34" width="12.42578125" customWidth="1"/>
    <col min="35" max="36" width="12" customWidth="1"/>
    <col min="37" max="37" width="11.42578125" customWidth="1"/>
  </cols>
  <sheetData>
    <row r="1" spans="1:37" x14ac:dyDescent="0.25">
      <c r="P1" s="2" t="s">
        <v>0</v>
      </c>
    </row>
    <row r="2" spans="1:37" x14ac:dyDescent="0.25">
      <c r="B2" s="8">
        <v>200801</v>
      </c>
      <c r="C2" s="8">
        <f>1+B2</f>
        <v>200802</v>
      </c>
      <c r="D2" s="8">
        <f t="shared" ref="D2:AG2" si="0">1+C2</f>
        <v>200803</v>
      </c>
      <c r="E2" s="8">
        <f t="shared" si="0"/>
        <v>200804</v>
      </c>
      <c r="F2" s="8">
        <f t="shared" si="0"/>
        <v>200805</v>
      </c>
      <c r="G2" s="8">
        <f t="shared" si="0"/>
        <v>200806</v>
      </c>
      <c r="H2" s="8">
        <f t="shared" si="0"/>
        <v>200807</v>
      </c>
      <c r="I2" s="8">
        <f t="shared" si="0"/>
        <v>200808</v>
      </c>
      <c r="J2" s="8">
        <f t="shared" si="0"/>
        <v>200809</v>
      </c>
      <c r="K2" s="8">
        <f t="shared" si="0"/>
        <v>200810</v>
      </c>
      <c r="L2" s="8">
        <f t="shared" si="0"/>
        <v>200811</v>
      </c>
      <c r="M2" s="8">
        <f t="shared" si="0"/>
        <v>200812</v>
      </c>
      <c r="N2" s="8">
        <f t="shared" si="0"/>
        <v>200813</v>
      </c>
      <c r="O2" s="8">
        <f t="shared" si="0"/>
        <v>200814</v>
      </c>
      <c r="P2" s="8">
        <f t="shared" si="0"/>
        <v>200815</v>
      </c>
      <c r="Q2" s="8">
        <f t="shared" si="0"/>
        <v>200816</v>
      </c>
      <c r="R2" s="8">
        <f t="shared" si="0"/>
        <v>200817</v>
      </c>
      <c r="S2" s="8">
        <f t="shared" si="0"/>
        <v>200818</v>
      </c>
      <c r="T2" s="8">
        <f t="shared" si="0"/>
        <v>200819</v>
      </c>
      <c r="U2" s="8">
        <f t="shared" si="0"/>
        <v>200820</v>
      </c>
      <c r="V2" s="8">
        <f t="shared" si="0"/>
        <v>200821</v>
      </c>
      <c r="W2" s="8">
        <f t="shared" si="0"/>
        <v>200822</v>
      </c>
      <c r="X2" s="8">
        <f t="shared" si="0"/>
        <v>200823</v>
      </c>
      <c r="Y2" s="8">
        <f t="shared" si="0"/>
        <v>200824</v>
      </c>
      <c r="Z2" s="8">
        <f t="shared" si="0"/>
        <v>200825</v>
      </c>
      <c r="AA2" s="8">
        <f t="shared" si="0"/>
        <v>200826</v>
      </c>
      <c r="AB2" s="8">
        <f t="shared" si="0"/>
        <v>200827</v>
      </c>
      <c r="AC2" s="8">
        <f t="shared" si="0"/>
        <v>200828</v>
      </c>
      <c r="AD2" s="8">
        <f t="shared" si="0"/>
        <v>200829</v>
      </c>
      <c r="AE2" s="8">
        <f t="shared" si="0"/>
        <v>200830</v>
      </c>
      <c r="AF2" s="8">
        <f t="shared" si="0"/>
        <v>200831</v>
      </c>
      <c r="AG2" s="8">
        <f t="shared" si="0"/>
        <v>200832</v>
      </c>
    </row>
    <row r="3" spans="1:37" x14ac:dyDescent="0.25">
      <c r="A3" s="3" t="s">
        <v>1</v>
      </c>
      <c r="B3" s="69" t="s">
        <v>61</v>
      </c>
      <c r="C3" s="69" t="s">
        <v>62</v>
      </c>
      <c r="D3" s="69" t="s">
        <v>70</v>
      </c>
      <c r="E3" s="69" t="s">
        <v>63</v>
      </c>
      <c r="F3" s="85" t="s">
        <v>64</v>
      </c>
      <c r="G3" s="85" t="s">
        <v>65</v>
      </c>
      <c r="H3" s="85" t="s">
        <v>66</v>
      </c>
      <c r="I3" s="85" t="s">
        <v>67</v>
      </c>
      <c r="J3" s="69" t="s">
        <v>68</v>
      </c>
      <c r="K3" s="69" t="s">
        <v>69</v>
      </c>
      <c r="L3" s="69" t="s">
        <v>71</v>
      </c>
      <c r="M3" s="69" t="s">
        <v>72</v>
      </c>
      <c r="N3" s="69" t="s">
        <v>14</v>
      </c>
      <c r="O3" s="69" t="s">
        <v>15</v>
      </c>
      <c r="P3" s="69" t="s">
        <v>16</v>
      </c>
      <c r="Q3" s="69" t="s">
        <v>17</v>
      </c>
      <c r="R3" s="86" t="s">
        <v>18</v>
      </c>
      <c r="S3" s="86" t="s">
        <v>19</v>
      </c>
      <c r="T3" s="86" t="s">
        <v>20</v>
      </c>
      <c r="U3" s="86" t="s">
        <v>21</v>
      </c>
      <c r="V3" s="87" t="s">
        <v>22</v>
      </c>
      <c r="W3" s="87" t="s">
        <v>23</v>
      </c>
      <c r="X3" s="87" t="s">
        <v>24</v>
      </c>
      <c r="Y3" s="87" t="s">
        <v>25</v>
      </c>
      <c r="Z3" s="69" t="s">
        <v>26</v>
      </c>
      <c r="AA3" s="69" t="s">
        <v>27</v>
      </c>
      <c r="AB3" s="69" t="s">
        <v>28</v>
      </c>
      <c r="AC3" s="69" t="s">
        <v>29</v>
      </c>
      <c r="AD3" s="86" t="s">
        <v>30</v>
      </c>
      <c r="AE3" s="86" t="s">
        <v>31</v>
      </c>
      <c r="AF3" s="86" t="s">
        <v>32</v>
      </c>
      <c r="AG3" s="86" t="s">
        <v>33</v>
      </c>
      <c r="AH3" s="3"/>
      <c r="AI3" s="3"/>
      <c r="AJ3" s="3"/>
      <c r="AK3" s="3"/>
    </row>
    <row r="4" spans="1:37" ht="15.75" thickBot="1" x14ac:dyDescent="0.3">
      <c r="A4" s="3" t="s">
        <v>2</v>
      </c>
      <c r="B4" s="9">
        <v>13561848</v>
      </c>
      <c r="C4" s="9">
        <v>18483272</v>
      </c>
      <c r="D4" s="9">
        <v>19145868</v>
      </c>
      <c r="E4" s="9">
        <v>18946396</v>
      </c>
      <c r="F4" s="9">
        <v>20786033</v>
      </c>
      <c r="G4" s="9">
        <v>20181997</v>
      </c>
      <c r="H4" s="9">
        <v>20937988</v>
      </c>
      <c r="I4" s="9">
        <v>22340088</v>
      </c>
      <c r="J4" s="9">
        <v>24175240</v>
      </c>
      <c r="K4" s="9">
        <v>24372011</v>
      </c>
      <c r="L4" s="9">
        <v>20421515</v>
      </c>
      <c r="M4" s="9">
        <v>18666140</v>
      </c>
      <c r="N4" s="9">
        <v>23590006</v>
      </c>
      <c r="O4" s="42">
        <v>21743465</v>
      </c>
      <c r="P4" s="21">
        <v>22983809</v>
      </c>
      <c r="Q4" s="55">
        <v>27637735</v>
      </c>
      <c r="R4" s="9">
        <v>25886677</v>
      </c>
      <c r="S4" s="21">
        <v>28610290</v>
      </c>
      <c r="T4" s="21">
        <v>30477271</v>
      </c>
      <c r="U4" s="92">
        <v>31071669</v>
      </c>
      <c r="V4" s="21">
        <v>24758232</v>
      </c>
      <c r="W4" s="21">
        <v>28970791</v>
      </c>
      <c r="X4" s="21">
        <v>31788114</v>
      </c>
      <c r="Y4" s="93">
        <v>31058296</v>
      </c>
      <c r="Z4" s="21">
        <v>33677250</v>
      </c>
      <c r="AA4" s="21">
        <v>30469789</v>
      </c>
      <c r="AB4" s="21">
        <v>33403423</v>
      </c>
      <c r="AC4" s="94">
        <v>36199176</v>
      </c>
      <c r="AD4" s="94">
        <v>36611508</v>
      </c>
      <c r="AE4" s="94">
        <v>36713103</v>
      </c>
      <c r="AF4" s="94">
        <v>37402823</v>
      </c>
      <c r="AG4" s="94">
        <v>37236900</v>
      </c>
    </row>
    <row r="5" spans="1:37" ht="15.75" thickBot="1" x14ac:dyDescent="0.3">
      <c r="A5" s="3" t="s">
        <v>3</v>
      </c>
      <c r="B5" s="9">
        <v>1826804</v>
      </c>
      <c r="C5" s="9">
        <v>3000680</v>
      </c>
      <c r="D5" s="9">
        <v>2953754</v>
      </c>
      <c r="E5" s="9">
        <v>2765190</v>
      </c>
      <c r="F5" s="9">
        <v>2776381</v>
      </c>
      <c r="G5" s="9">
        <v>3021048</v>
      </c>
      <c r="H5" s="9">
        <v>3272104</v>
      </c>
      <c r="I5" s="9">
        <v>3447194</v>
      </c>
      <c r="J5" s="9">
        <v>4904711</v>
      </c>
      <c r="K5" s="9">
        <v>4042414</v>
      </c>
      <c r="L5" s="9">
        <v>3689079</v>
      </c>
      <c r="M5" s="9">
        <v>3915469</v>
      </c>
      <c r="N5" s="9">
        <v>1095374</v>
      </c>
      <c r="O5" s="42">
        <v>1170325</v>
      </c>
      <c r="P5" s="21">
        <v>1164043</v>
      </c>
      <c r="Q5" s="55">
        <v>1155026</v>
      </c>
      <c r="R5" s="21">
        <v>1121530</v>
      </c>
      <c r="S5" s="21">
        <v>1205367</v>
      </c>
      <c r="T5" s="21">
        <v>1174924</v>
      </c>
      <c r="U5" s="92">
        <v>1089027</v>
      </c>
      <c r="V5" s="21">
        <v>9786373</v>
      </c>
      <c r="W5" s="21">
        <v>8864875</v>
      </c>
      <c r="X5" s="21">
        <v>8143686</v>
      </c>
      <c r="Y5" s="93">
        <v>786768</v>
      </c>
      <c r="Z5" s="21">
        <v>7903154</v>
      </c>
      <c r="AA5" s="21">
        <v>7889023</v>
      </c>
      <c r="AB5" s="21">
        <v>7974647</v>
      </c>
      <c r="AC5" s="94">
        <v>789701</v>
      </c>
      <c r="AD5" s="94">
        <v>793928</v>
      </c>
      <c r="AE5" s="94">
        <v>943244</v>
      </c>
      <c r="AF5" s="94">
        <v>961019</v>
      </c>
      <c r="AG5" s="94">
        <v>797703</v>
      </c>
    </row>
    <row r="6" spans="1:37" ht="15.75" thickBot="1" x14ac:dyDescent="0.3">
      <c r="A6" s="3" t="s">
        <v>4</v>
      </c>
      <c r="B6" s="9">
        <v>2434931</v>
      </c>
      <c r="C6" s="9">
        <v>2436192</v>
      </c>
      <c r="D6" s="9">
        <v>2458041</v>
      </c>
      <c r="E6" s="9">
        <v>2573520</v>
      </c>
      <c r="F6" s="9">
        <v>2452910</v>
      </c>
      <c r="G6" s="9">
        <v>2497610</v>
      </c>
      <c r="H6" s="9">
        <v>2533631</v>
      </c>
      <c r="I6" s="9">
        <v>2451736</v>
      </c>
      <c r="J6" s="9">
        <v>2580062</v>
      </c>
      <c r="K6" s="9">
        <v>2627151</v>
      </c>
      <c r="L6" s="9">
        <v>2482372</v>
      </c>
      <c r="M6" s="9">
        <v>2540494</v>
      </c>
      <c r="N6" s="9">
        <v>2572535</v>
      </c>
      <c r="O6" s="42">
        <v>2600890</v>
      </c>
      <c r="P6" s="21">
        <v>2643809</v>
      </c>
      <c r="Q6" s="55">
        <v>2731513</v>
      </c>
      <c r="R6" s="9">
        <v>2719190</v>
      </c>
      <c r="S6" s="21">
        <v>2759280</v>
      </c>
      <c r="T6" s="21">
        <v>2746757</v>
      </c>
      <c r="U6" s="92">
        <v>11279425</v>
      </c>
      <c r="V6" s="21">
        <v>1687500</v>
      </c>
      <c r="W6" s="21">
        <v>1687500</v>
      </c>
      <c r="X6" s="21">
        <v>1687500</v>
      </c>
      <c r="Y6" s="93">
        <v>15305984</v>
      </c>
      <c r="Z6" s="21">
        <v>1687500</v>
      </c>
      <c r="AA6" s="21">
        <v>5687500</v>
      </c>
      <c r="AB6" s="21">
        <v>5687500</v>
      </c>
      <c r="AC6" s="94">
        <v>13388762</v>
      </c>
      <c r="AD6" s="94">
        <v>14546432</v>
      </c>
      <c r="AE6" s="94">
        <v>14365595</v>
      </c>
      <c r="AF6" s="94">
        <v>13073701</v>
      </c>
      <c r="AG6" s="94">
        <v>13397899</v>
      </c>
    </row>
    <row r="7" spans="1:37" ht="15.75" thickBot="1" x14ac:dyDescent="0.3">
      <c r="A7" s="8" t="s">
        <v>5</v>
      </c>
      <c r="B7" s="9">
        <v>35139769</v>
      </c>
      <c r="C7" s="9">
        <v>44759465</v>
      </c>
      <c r="D7" s="9">
        <v>45274113</v>
      </c>
      <c r="E7" s="9">
        <v>53025733</v>
      </c>
      <c r="F7" s="9">
        <v>48061901</v>
      </c>
      <c r="G7" s="9">
        <v>50482608</v>
      </c>
      <c r="H7" s="9">
        <v>52020553</v>
      </c>
      <c r="I7" s="9">
        <v>44381539</v>
      </c>
      <c r="J7" s="9">
        <v>52419843</v>
      </c>
      <c r="K7" s="9">
        <v>51702866</v>
      </c>
      <c r="L7" s="9">
        <v>54142229</v>
      </c>
      <c r="M7" s="9">
        <v>55135343</v>
      </c>
      <c r="N7" s="9">
        <v>55242403</v>
      </c>
      <c r="O7" s="42">
        <v>55776323</v>
      </c>
      <c r="P7" s="21">
        <v>54048359</v>
      </c>
      <c r="Q7" s="55">
        <v>55995322</v>
      </c>
      <c r="R7" s="9">
        <v>5508324</v>
      </c>
      <c r="S7" s="21">
        <v>54277501</v>
      </c>
      <c r="T7" s="21">
        <v>54896802</v>
      </c>
      <c r="U7" s="92">
        <v>38402069</v>
      </c>
      <c r="V7" s="21">
        <v>39405710</v>
      </c>
      <c r="W7" s="21">
        <v>36199366</v>
      </c>
      <c r="X7" s="21">
        <v>36037129</v>
      </c>
      <c r="Y7" s="93">
        <v>38228697</v>
      </c>
      <c r="Z7" s="21">
        <v>38276021</v>
      </c>
      <c r="AA7" s="21">
        <v>38520004</v>
      </c>
      <c r="AB7" s="21">
        <v>38566117</v>
      </c>
      <c r="AC7" s="94">
        <v>40487591</v>
      </c>
      <c r="AD7" s="94">
        <v>38040334</v>
      </c>
      <c r="AE7" s="94">
        <v>38665241</v>
      </c>
      <c r="AF7" s="94">
        <v>38855546</v>
      </c>
      <c r="AG7" s="94">
        <v>40487522</v>
      </c>
    </row>
    <row r="8" spans="1:37" ht="15.75" thickBot="1" x14ac:dyDescent="0.3">
      <c r="A8" s="3" t="s">
        <v>6</v>
      </c>
      <c r="B8" s="9">
        <v>4153883</v>
      </c>
      <c r="C8" s="9">
        <v>31794742</v>
      </c>
      <c r="D8" s="9">
        <v>30476111</v>
      </c>
      <c r="E8" s="9">
        <v>2287350</v>
      </c>
      <c r="F8" s="9">
        <v>2184516</v>
      </c>
      <c r="G8" s="9">
        <v>29470312</v>
      </c>
      <c r="H8" s="9">
        <v>29630656</v>
      </c>
      <c r="I8" s="9">
        <v>2416901</v>
      </c>
      <c r="J8" s="9">
        <v>29515125</v>
      </c>
      <c r="K8" s="9">
        <v>31704914</v>
      </c>
      <c r="L8" s="9">
        <v>32083742</v>
      </c>
      <c r="M8" s="9">
        <v>31806028</v>
      </c>
      <c r="N8" s="9">
        <v>3153697</v>
      </c>
      <c r="O8" s="42">
        <v>2505017</v>
      </c>
      <c r="P8" s="21">
        <v>2349036</v>
      </c>
      <c r="Q8" s="55">
        <v>30384678</v>
      </c>
      <c r="R8" s="9">
        <v>2345661</v>
      </c>
      <c r="S8" s="21">
        <v>2267981</v>
      </c>
      <c r="T8" s="21">
        <v>2027453</v>
      </c>
      <c r="U8" s="92">
        <v>5517605</v>
      </c>
      <c r="V8" s="21">
        <v>1085785</v>
      </c>
      <c r="W8" s="21">
        <v>1001149</v>
      </c>
      <c r="X8" s="21">
        <v>954087</v>
      </c>
      <c r="Y8" s="93">
        <v>5489656</v>
      </c>
      <c r="Z8" s="21">
        <v>881640</v>
      </c>
      <c r="AA8" s="21">
        <v>870574</v>
      </c>
      <c r="AB8" s="21">
        <v>919005</v>
      </c>
      <c r="AC8" s="94">
        <v>5795879</v>
      </c>
      <c r="AD8" s="94">
        <v>5489062</v>
      </c>
      <c r="AE8" s="94">
        <v>5474213</v>
      </c>
      <c r="AF8" s="94">
        <v>5966113</v>
      </c>
      <c r="AG8" s="94">
        <v>5795879</v>
      </c>
    </row>
    <row r="9" spans="1:37" s="91" customFormat="1" ht="15.75" thickBot="1" x14ac:dyDescent="0.3">
      <c r="A9" s="99" t="s">
        <v>137</v>
      </c>
      <c r="B9" s="100">
        <v>2165000</v>
      </c>
      <c r="C9" s="100">
        <v>1681000</v>
      </c>
      <c r="D9" s="100">
        <v>2349000</v>
      </c>
      <c r="E9" s="100">
        <v>2776000</v>
      </c>
      <c r="F9" s="100">
        <v>2679000</v>
      </c>
      <c r="G9" s="100">
        <v>4340000</v>
      </c>
      <c r="H9" s="100">
        <v>3819000</v>
      </c>
      <c r="I9" s="100">
        <v>3304000</v>
      </c>
      <c r="J9" s="100">
        <v>3066000</v>
      </c>
      <c r="K9" s="100">
        <v>2229000</v>
      </c>
      <c r="L9" s="100">
        <v>4178000</v>
      </c>
      <c r="M9" s="100">
        <v>3498000</v>
      </c>
      <c r="N9" s="100">
        <v>1375000</v>
      </c>
      <c r="O9" s="101">
        <v>3731000</v>
      </c>
      <c r="P9" s="100">
        <v>2798000</v>
      </c>
      <c r="Q9" s="95">
        <v>2560000</v>
      </c>
      <c r="R9" s="100">
        <v>3243000</v>
      </c>
      <c r="S9" s="100">
        <v>2942000</v>
      </c>
      <c r="T9" s="100">
        <v>4418000</v>
      </c>
      <c r="U9" s="96">
        <v>3402000</v>
      </c>
      <c r="V9" s="100">
        <v>2695000</v>
      </c>
      <c r="W9" s="100">
        <v>3003000</v>
      </c>
      <c r="X9" s="100">
        <v>3839000</v>
      </c>
      <c r="Y9" s="97">
        <v>2478000</v>
      </c>
      <c r="Z9" s="100">
        <v>2777000</v>
      </c>
      <c r="AA9" s="100">
        <v>2151000</v>
      </c>
      <c r="AB9" s="100">
        <v>2289000</v>
      </c>
      <c r="AC9" s="98">
        <v>2880000</v>
      </c>
      <c r="AD9" s="98">
        <v>3507000</v>
      </c>
      <c r="AE9" s="98">
        <v>4221000</v>
      </c>
      <c r="AF9" s="98">
        <v>3942000</v>
      </c>
      <c r="AG9" s="98">
        <v>3395000</v>
      </c>
    </row>
    <row r="10" spans="1:37" ht="15.75" thickBot="1" x14ac:dyDescent="0.3">
      <c r="A10" s="3" t="s">
        <v>7</v>
      </c>
      <c r="B10" s="9">
        <v>69417679</v>
      </c>
      <c r="C10" s="9">
        <v>103191755</v>
      </c>
      <c r="D10" s="9">
        <v>103053220</v>
      </c>
      <c r="E10" s="9">
        <v>99762135</v>
      </c>
      <c r="F10" s="9">
        <v>101768830</v>
      </c>
      <c r="G10" s="9">
        <v>104787316</v>
      </c>
      <c r="H10" s="9">
        <v>107251367</v>
      </c>
      <c r="I10" s="9">
        <v>109272172</v>
      </c>
      <c r="J10" s="9">
        <v>111116344</v>
      </c>
      <c r="K10" s="9">
        <v>112159730</v>
      </c>
      <c r="L10" s="9">
        <v>111502203</v>
      </c>
      <c r="M10" s="9">
        <v>110708804</v>
      </c>
      <c r="N10" s="9">
        <v>116496150</v>
      </c>
      <c r="O10" s="42">
        <v>114035640</v>
      </c>
      <c r="P10" s="21">
        <v>111538498</v>
      </c>
      <c r="Q10" s="55">
        <v>117904274</v>
      </c>
      <c r="R10" s="9">
        <v>115976598</v>
      </c>
      <c r="S10" s="21">
        <v>117010865</v>
      </c>
      <c r="T10" s="21">
        <v>119619841</v>
      </c>
      <c r="U10" s="92">
        <v>87359795</v>
      </c>
      <c r="V10" s="21">
        <v>84221766</v>
      </c>
      <c r="W10" s="21">
        <v>83393399</v>
      </c>
      <c r="X10" s="21">
        <v>84320956</v>
      </c>
      <c r="Y10" s="93">
        <v>90869401</v>
      </c>
      <c r="Z10" s="21">
        <v>88474440</v>
      </c>
      <c r="AA10" s="21">
        <v>89897451</v>
      </c>
      <c r="AB10" s="21">
        <v>92403629</v>
      </c>
      <c r="AC10" s="94">
        <v>96661109</v>
      </c>
      <c r="AD10" s="94">
        <v>95481264</v>
      </c>
      <c r="AE10" s="94">
        <v>96161396</v>
      </c>
      <c r="AF10" s="94">
        <v>96259202</v>
      </c>
      <c r="AG10" s="94">
        <v>97715903</v>
      </c>
    </row>
    <row r="11" spans="1:37" ht="15.75" thickBot="1" x14ac:dyDescent="0.3">
      <c r="A11" s="3" t="s">
        <v>8</v>
      </c>
      <c r="B11" s="9">
        <v>17284768</v>
      </c>
      <c r="C11" s="9">
        <v>22542881</v>
      </c>
      <c r="D11" s="9">
        <v>23061831</v>
      </c>
      <c r="E11" s="9">
        <v>22898835</v>
      </c>
      <c r="F11" s="9">
        <v>24360065</v>
      </c>
      <c r="G11" s="9">
        <v>26270554</v>
      </c>
      <c r="H11" s="9">
        <v>28707292</v>
      </c>
      <c r="I11" s="9">
        <v>29518578</v>
      </c>
      <c r="J11" s="9">
        <v>28814415</v>
      </c>
      <c r="K11" s="9">
        <v>31492417</v>
      </c>
      <c r="L11" s="9">
        <v>28270914</v>
      </c>
      <c r="M11" s="9">
        <v>26641715</v>
      </c>
      <c r="N11" s="9">
        <v>29805043</v>
      </c>
      <c r="O11" s="42">
        <v>25820304</v>
      </c>
      <c r="P11" s="21">
        <v>26271195</v>
      </c>
      <c r="Q11" s="55">
        <v>25288248</v>
      </c>
      <c r="R11" s="9">
        <v>25036487</v>
      </c>
      <c r="S11" s="21">
        <v>25227932</v>
      </c>
      <c r="T11" s="21">
        <v>26437166</v>
      </c>
      <c r="U11" s="92">
        <v>19650302</v>
      </c>
      <c r="V11" s="21">
        <v>18206431</v>
      </c>
      <c r="W11" s="21">
        <v>19999973</v>
      </c>
      <c r="X11" s="21">
        <v>18644614</v>
      </c>
      <c r="Y11" s="93">
        <v>16818807</v>
      </c>
      <c r="Z11" s="21">
        <v>19508294</v>
      </c>
      <c r="AA11" s="21">
        <v>17098127</v>
      </c>
      <c r="AB11" s="21">
        <v>18338756</v>
      </c>
      <c r="AC11" s="94">
        <v>22714391</v>
      </c>
      <c r="AD11" s="94">
        <v>21620117</v>
      </c>
      <c r="AE11" s="94">
        <v>21882387</v>
      </c>
      <c r="AF11" s="94">
        <v>22616329</v>
      </c>
      <c r="AG11" s="94">
        <v>23862995</v>
      </c>
    </row>
    <row r="12" spans="1:37" ht="15.75" thickBot="1" x14ac:dyDescent="0.3">
      <c r="A12" s="3" t="s">
        <v>9</v>
      </c>
      <c r="B12" s="9">
        <v>15561458</v>
      </c>
      <c r="C12" s="9">
        <v>37034341</v>
      </c>
      <c r="D12" s="9">
        <v>35510594</v>
      </c>
      <c r="E12" s="9">
        <v>34301423</v>
      </c>
      <c r="F12" s="9">
        <v>33317519</v>
      </c>
      <c r="G12" s="9">
        <v>32180443</v>
      </c>
      <c r="H12" s="9">
        <v>30903335</v>
      </c>
      <c r="I12" s="9">
        <v>28956326</v>
      </c>
      <c r="J12" s="9">
        <v>30899904</v>
      </c>
      <c r="K12" s="9">
        <v>30331243</v>
      </c>
      <c r="L12" s="9">
        <v>29847258</v>
      </c>
      <c r="M12" s="9">
        <v>30599362</v>
      </c>
      <c r="N12" s="9">
        <v>32825814</v>
      </c>
      <c r="O12" s="42">
        <v>34151934</v>
      </c>
      <c r="P12" s="21">
        <v>32459609</v>
      </c>
      <c r="Q12" s="55">
        <v>7596475</v>
      </c>
      <c r="R12" s="9">
        <v>34303835</v>
      </c>
      <c r="S12" s="21">
        <v>34757959</v>
      </c>
      <c r="T12" s="21">
        <v>34043295</v>
      </c>
      <c r="U12" s="92">
        <v>10371945</v>
      </c>
      <c r="V12" s="21">
        <v>14465346</v>
      </c>
      <c r="W12" s="21">
        <v>11651487</v>
      </c>
      <c r="X12" s="21">
        <v>11789337</v>
      </c>
      <c r="Y12" s="93">
        <v>11553658</v>
      </c>
      <c r="Z12" s="21">
        <v>11363153</v>
      </c>
      <c r="AA12" s="21">
        <v>13372222</v>
      </c>
      <c r="AB12" s="21">
        <v>13057983</v>
      </c>
      <c r="AC12" s="94">
        <v>9819701</v>
      </c>
      <c r="AD12" s="94">
        <v>11313135</v>
      </c>
      <c r="AE12" s="94">
        <v>11004454</v>
      </c>
      <c r="AF12" s="94">
        <v>10307166</v>
      </c>
      <c r="AG12" s="94">
        <v>9819701</v>
      </c>
    </row>
    <row r="13" spans="1:37" ht="15.75" thickBot="1" x14ac:dyDescent="0.3">
      <c r="A13" s="3" t="s">
        <v>10</v>
      </c>
      <c r="B13" s="9">
        <v>1960242</v>
      </c>
      <c r="C13" s="9">
        <v>2998856</v>
      </c>
      <c r="D13" s="9">
        <v>2993694</v>
      </c>
      <c r="E13" s="9">
        <v>2738025</v>
      </c>
      <c r="F13" s="9">
        <v>2771710</v>
      </c>
      <c r="G13" s="9">
        <v>2847967</v>
      </c>
      <c r="H13" s="9">
        <v>2881183</v>
      </c>
      <c r="I13" s="9">
        <v>2843869</v>
      </c>
      <c r="J13" s="9">
        <v>2916700</v>
      </c>
      <c r="K13" s="9">
        <v>3093414</v>
      </c>
      <c r="L13" s="9">
        <v>21960236</v>
      </c>
      <c r="M13" s="9">
        <v>21736255</v>
      </c>
      <c r="N13" s="9">
        <v>2215496</v>
      </c>
      <c r="O13" s="42">
        <v>2461977</v>
      </c>
      <c r="P13" s="21">
        <v>2537551</v>
      </c>
      <c r="Q13" s="55">
        <v>2612419</v>
      </c>
      <c r="R13" s="21">
        <v>2328443</v>
      </c>
      <c r="S13" s="21">
        <v>2110464</v>
      </c>
      <c r="T13" s="21">
        <v>1984625</v>
      </c>
      <c r="U13" s="92">
        <v>1174855</v>
      </c>
      <c r="V13" s="21">
        <v>11639207</v>
      </c>
      <c r="W13" s="21">
        <v>1156802</v>
      </c>
      <c r="X13" s="21">
        <v>1166538</v>
      </c>
      <c r="Y13" s="93">
        <v>1168326</v>
      </c>
      <c r="Z13" s="21">
        <v>2007464</v>
      </c>
      <c r="AA13" s="21">
        <v>2132737</v>
      </c>
      <c r="AB13" s="21">
        <v>2184633</v>
      </c>
      <c r="AC13" s="94">
        <v>2164774</v>
      </c>
      <c r="AD13" s="94">
        <v>1206458</v>
      </c>
      <c r="AE13" s="94">
        <v>1432116</v>
      </c>
      <c r="AF13" s="94">
        <v>1670338</v>
      </c>
      <c r="AG13" s="94">
        <v>1985408</v>
      </c>
    </row>
    <row r="14" spans="1:37" ht="15.75" thickBot="1" x14ac:dyDescent="0.3">
      <c r="A14" s="3" t="s">
        <v>11</v>
      </c>
      <c r="B14" s="9">
        <v>36558342</v>
      </c>
      <c r="C14" s="9">
        <v>38245483</v>
      </c>
      <c r="D14" s="9">
        <v>38891816</v>
      </c>
      <c r="E14" s="9">
        <v>37637978</v>
      </c>
      <c r="F14" s="9">
        <v>37390216</v>
      </c>
      <c r="G14" s="9">
        <v>39512485</v>
      </c>
      <c r="H14" s="9">
        <v>40626269</v>
      </c>
      <c r="I14" s="9">
        <v>41999327</v>
      </c>
      <c r="J14" s="9">
        <v>42503404</v>
      </c>
      <c r="K14" s="9">
        <v>42246349</v>
      </c>
      <c r="L14" s="9">
        <v>44678725</v>
      </c>
      <c r="M14" s="9">
        <v>44998400</v>
      </c>
      <c r="N14" s="9">
        <v>45227445</v>
      </c>
      <c r="O14" s="42">
        <v>46313799</v>
      </c>
      <c r="P14" s="21">
        <v>45729902</v>
      </c>
      <c r="Q14" s="55">
        <v>58895352</v>
      </c>
      <c r="R14" s="9">
        <v>49052812</v>
      </c>
      <c r="S14" s="21">
        <v>50161054</v>
      </c>
      <c r="T14" s="21">
        <v>51723711</v>
      </c>
      <c r="U14" s="92">
        <v>56229627</v>
      </c>
      <c r="V14" s="21">
        <v>51691255</v>
      </c>
      <c r="W14" s="21">
        <v>51741939</v>
      </c>
      <c r="X14" s="21">
        <v>54044930</v>
      </c>
      <c r="Y14" s="93">
        <v>60422328</v>
      </c>
      <c r="Z14" s="21">
        <v>56989416</v>
      </c>
      <c r="AA14" s="21">
        <v>5427102</v>
      </c>
      <c r="AB14" s="21">
        <v>1694637</v>
      </c>
      <c r="AC14" s="94">
        <v>60541336</v>
      </c>
      <c r="AD14" s="94">
        <v>60288546</v>
      </c>
      <c r="AE14" s="94">
        <v>60652249</v>
      </c>
      <c r="AF14" s="94">
        <v>60355436</v>
      </c>
      <c r="AG14" s="94">
        <v>60626839</v>
      </c>
    </row>
    <row r="15" spans="1:37" ht="15.75" thickBot="1" x14ac:dyDescent="0.3">
      <c r="A15" s="3" t="s">
        <v>12</v>
      </c>
      <c r="B15" s="9">
        <v>31111</v>
      </c>
      <c r="C15" s="9">
        <v>5369050</v>
      </c>
      <c r="D15" s="9">
        <v>5588979</v>
      </c>
      <c r="E15" s="9">
        <v>4923899</v>
      </c>
      <c r="F15" s="9">
        <v>6701030</v>
      </c>
      <c r="G15" s="9">
        <v>6823834</v>
      </c>
      <c r="H15" s="9">
        <v>7014471</v>
      </c>
      <c r="I15" s="9">
        <v>8797941</v>
      </c>
      <c r="J15" s="9">
        <v>8898621</v>
      </c>
      <c r="K15" s="9">
        <v>897218</v>
      </c>
      <c r="L15" s="9">
        <v>8705306</v>
      </c>
      <c r="M15" s="9">
        <v>8469327</v>
      </c>
      <c r="N15" s="9">
        <v>8637848</v>
      </c>
      <c r="O15" s="42">
        <v>7749603</v>
      </c>
      <c r="P15" s="21">
        <v>7077792</v>
      </c>
      <c r="Q15" s="55" t="s">
        <v>50</v>
      </c>
      <c r="R15" s="9">
        <v>7583464</v>
      </c>
      <c r="S15" s="21">
        <v>6863920</v>
      </c>
      <c r="T15" s="21">
        <v>7415669</v>
      </c>
      <c r="U15" s="92">
        <v>-66934</v>
      </c>
      <c r="V15" s="21">
        <v>-141266</v>
      </c>
      <c r="W15" s="21">
        <v>331517</v>
      </c>
      <c r="X15" s="21">
        <v>403612</v>
      </c>
      <c r="Y15" s="93">
        <v>906282</v>
      </c>
      <c r="Z15" s="21">
        <v>613577</v>
      </c>
      <c r="AA15" s="21">
        <v>713122</v>
      </c>
      <c r="AB15" s="21">
        <v>812253</v>
      </c>
      <c r="AC15" s="94">
        <v>1420907</v>
      </c>
      <c r="AD15" s="94">
        <v>1053008</v>
      </c>
      <c r="AE15" s="94">
        <v>1190190</v>
      </c>
      <c r="AF15" s="94">
        <v>1309933</v>
      </c>
      <c r="AG15" s="94">
        <v>1420960</v>
      </c>
    </row>
    <row r="16" spans="1:37" ht="15.75" thickBot="1" x14ac:dyDescent="0.3">
      <c r="A16" s="3" t="s">
        <v>13</v>
      </c>
      <c r="B16" s="9">
        <v>69417679</v>
      </c>
      <c r="C16" s="9">
        <v>103191755</v>
      </c>
      <c r="D16" s="9">
        <v>103053220</v>
      </c>
      <c r="E16" s="9">
        <v>99762135</v>
      </c>
      <c r="F16" s="9">
        <v>101768830</v>
      </c>
      <c r="G16" s="9">
        <v>104787316</v>
      </c>
      <c r="H16" s="9">
        <v>107251367</v>
      </c>
      <c r="I16" s="9">
        <v>109272172</v>
      </c>
      <c r="J16" s="9">
        <v>111116344</v>
      </c>
      <c r="K16" s="9">
        <v>112159730</v>
      </c>
      <c r="L16" s="9">
        <v>111502203</v>
      </c>
      <c r="M16" s="9">
        <v>110708804</v>
      </c>
      <c r="N16" s="9">
        <v>116496150</v>
      </c>
      <c r="O16" s="42">
        <v>114035640</v>
      </c>
      <c r="P16" s="21">
        <v>111538495</v>
      </c>
      <c r="Q16" s="55">
        <v>117904274</v>
      </c>
      <c r="R16" s="9">
        <v>115976598</v>
      </c>
      <c r="S16" s="21">
        <v>117010865</v>
      </c>
      <c r="T16" s="21">
        <v>119619841</v>
      </c>
      <c r="U16" s="92">
        <v>87359795</v>
      </c>
      <c r="V16" s="21">
        <v>88474440</v>
      </c>
      <c r="W16" s="21">
        <v>83393399</v>
      </c>
      <c r="X16" s="21">
        <v>84320956</v>
      </c>
      <c r="Y16" s="93">
        <v>90869401</v>
      </c>
      <c r="Z16" s="21">
        <v>88474440</v>
      </c>
      <c r="AA16" s="21">
        <v>89897451</v>
      </c>
      <c r="AB16" s="21">
        <v>92403629</v>
      </c>
      <c r="AC16" s="94">
        <v>96661109</v>
      </c>
      <c r="AD16" s="94">
        <v>95481264</v>
      </c>
      <c r="AE16" s="94">
        <v>96161396</v>
      </c>
      <c r="AF16" s="94">
        <v>96259202</v>
      </c>
      <c r="AG16" s="94">
        <v>97715903</v>
      </c>
    </row>
    <row r="17" spans="1:33" x14ac:dyDescent="0.25">
      <c r="A17" s="7" t="s">
        <v>34</v>
      </c>
      <c r="B17" s="6">
        <v>61.75</v>
      </c>
      <c r="C17" s="6">
        <v>60.5</v>
      </c>
      <c r="D17" s="6">
        <v>64.25</v>
      </c>
      <c r="E17" s="6">
        <v>49.1</v>
      </c>
      <c r="F17" s="6">
        <v>39.9</v>
      </c>
      <c r="G17" s="6">
        <v>51.5</v>
      </c>
      <c r="H17" s="6">
        <v>50.25</v>
      </c>
      <c r="I17" s="6">
        <v>44.1</v>
      </c>
      <c r="J17" s="6">
        <v>47.5</v>
      </c>
      <c r="K17" s="6">
        <v>37.700000000000003</v>
      </c>
      <c r="L17" s="6">
        <v>38.700000000000003</v>
      </c>
      <c r="M17" s="6">
        <v>42.6</v>
      </c>
      <c r="N17" s="6">
        <v>38.5</v>
      </c>
      <c r="O17" s="6">
        <v>36.4</v>
      </c>
      <c r="P17" s="6">
        <v>34</v>
      </c>
      <c r="Q17" s="6">
        <v>33.799999999999997</v>
      </c>
      <c r="R17" s="6">
        <v>40.799999999999997</v>
      </c>
      <c r="S17" s="6">
        <v>39.5</v>
      </c>
      <c r="T17" s="6">
        <v>39.700000000000003</v>
      </c>
      <c r="U17" s="80">
        <v>43.3</v>
      </c>
      <c r="V17" s="6">
        <v>39.200000000000003</v>
      </c>
      <c r="W17" s="6">
        <v>39.9</v>
      </c>
      <c r="X17" s="6">
        <v>43.2</v>
      </c>
      <c r="Y17" s="23">
        <v>55.25</v>
      </c>
      <c r="Z17" s="6">
        <v>66</v>
      </c>
      <c r="AA17" s="6">
        <v>66.75</v>
      </c>
      <c r="AB17" s="6">
        <v>74.349999999999994</v>
      </c>
      <c r="AC17" s="82">
        <v>65.739999999999995</v>
      </c>
      <c r="AD17" s="82">
        <v>62.77</v>
      </c>
      <c r="AE17" s="82">
        <v>67.48</v>
      </c>
      <c r="AF17" s="82">
        <v>61.29</v>
      </c>
      <c r="AG17" s="82">
        <v>68.67</v>
      </c>
    </row>
    <row r="18" spans="1:33" s="104" customFormat="1" x14ac:dyDescent="0.25">
      <c r="A18" s="99" t="s">
        <v>135</v>
      </c>
      <c r="B18" s="102">
        <v>1.51</v>
      </c>
      <c r="C18" s="102">
        <v>1.92</v>
      </c>
      <c r="D18" s="102">
        <v>1.51</v>
      </c>
      <c r="E18" s="102">
        <v>0.57999999999999996</v>
      </c>
      <c r="F18" s="102">
        <v>1.24</v>
      </c>
      <c r="G18" s="102">
        <v>1.5</v>
      </c>
      <c r="H18" s="102">
        <v>1.2</v>
      </c>
      <c r="I18" s="102">
        <v>1.47</v>
      </c>
      <c r="J18" s="102">
        <v>0.89</v>
      </c>
      <c r="K18" s="102">
        <v>1.03</v>
      </c>
      <c r="L18" s="102">
        <v>1.66</v>
      </c>
      <c r="M18" s="102">
        <v>1.1399999999999999</v>
      </c>
      <c r="N18" s="102">
        <v>0.79</v>
      </c>
      <c r="O18" s="103">
        <v>1.39</v>
      </c>
      <c r="P18" s="102">
        <v>0.78</v>
      </c>
      <c r="Q18" s="102">
        <v>1.1399999999999999</v>
      </c>
      <c r="R18" s="102">
        <v>1.26</v>
      </c>
      <c r="S18" s="102">
        <v>1.2</v>
      </c>
      <c r="T18" s="102">
        <v>0.98</v>
      </c>
      <c r="U18" s="102">
        <v>0.24</v>
      </c>
      <c r="V18" s="102">
        <v>0.77</v>
      </c>
      <c r="W18" s="102">
        <v>0.71</v>
      </c>
      <c r="X18" s="102">
        <v>1.69</v>
      </c>
      <c r="Y18" s="102">
        <v>1.81</v>
      </c>
      <c r="Z18" s="102">
        <v>1.2</v>
      </c>
      <c r="AA18" s="102">
        <v>1.4</v>
      </c>
      <c r="AB18" s="102">
        <v>1.69</v>
      </c>
      <c r="AC18" s="102">
        <v>1.22</v>
      </c>
      <c r="AD18" s="102">
        <v>1.25</v>
      </c>
      <c r="AE18" s="102">
        <v>1.28</v>
      </c>
      <c r="AF18" s="102">
        <v>1.1599999999999999</v>
      </c>
      <c r="AG18" s="102">
        <v>0.98</v>
      </c>
    </row>
    <row r="19" spans="1:33" x14ac:dyDescent="0.25">
      <c r="A19" s="10" t="s">
        <v>35</v>
      </c>
      <c r="B19" s="69" t="s">
        <v>61</v>
      </c>
      <c r="C19" s="69" t="s">
        <v>62</v>
      </c>
      <c r="D19" s="69" t="s">
        <v>70</v>
      </c>
      <c r="E19" s="69" t="s">
        <v>63</v>
      </c>
      <c r="F19" s="85" t="s">
        <v>64</v>
      </c>
      <c r="G19" s="85" t="s">
        <v>65</v>
      </c>
      <c r="H19" s="85" t="s">
        <v>66</v>
      </c>
      <c r="I19" s="85" t="s">
        <v>67</v>
      </c>
      <c r="J19" s="69" t="s">
        <v>68</v>
      </c>
      <c r="K19" s="69" t="s">
        <v>69</v>
      </c>
      <c r="L19" s="69" t="s">
        <v>71</v>
      </c>
      <c r="M19" s="69" t="s">
        <v>72</v>
      </c>
      <c r="N19" s="69" t="s">
        <v>14</v>
      </c>
      <c r="O19" s="69" t="s">
        <v>15</v>
      </c>
      <c r="P19" s="69" t="s">
        <v>16</v>
      </c>
      <c r="Q19" s="69" t="s">
        <v>17</v>
      </c>
      <c r="R19" s="86" t="s">
        <v>18</v>
      </c>
      <c r="S19" s="86" t="s">
        <v>19</v>
      </c>
      <c r="T19" s="86" t="s">
        <v>20</v>
      </c>
      <c r="U19" s="86" t="s">
        <v>21</v>
      </c>
      <c r="V19" s="87" t="s">
        <v>22</v>
      </c>
      <c r="W19" s="87" t="s">
        <v>23</v>
      </c>
      <c r="X19" s="5" t="s">
        <v>24</v>
      </c>
      <c r="Y19" s="5" t="s">
        <v>25</v>
      </c>
      <c r="Z19" s="1" t="s">
        <v>26</v>
      </c>
      <c r="AA19" s="1" t="s">
        <v>27</v>
      </c>
      <c r="AB19" s="1" t="s">
        <v>28</v>
      </c>
      <c r="AC19" s="1" t="s">
        <v>29</v>
      </c>
      <c r="AD19" s="4" t="s">
        <v>30</v>
      </c>
      <c r="AE19" s="4" t="s">
        <v>31</v>
      </c>
      <c r="AF19" s="4" t="s">
        <v>32</v>
      </c>
      <c r="AG19" s="4" t="s">
        <v>33</v>
      </c>
    </row>
    <row r="20" spans="1:33" ht="15.75" thickBot="1" x14ac:dyDescent="0.3">
      <c r="A20" s="8" t="s">
        <v>36</v>
      </c>
      <c r="B20" s="9">
        <v>9574707</v>
      </c>
      <c r="C20" s="9">
        <v>12030462</v>
      </c>
      <c r="D20" s="9">
        <v>13537756</v>
      </c>
      <c r="E20" s="9">
        <v>12326443</v>
      </c>
      <c r="F20" s="9">
        <v>12142784</v>
      </c>
      <c r="G20" s="9">
        <v>12674120</v>
      </c>
      <c r="H20" s="9">
        <v>12934244</v>
      </c>
      <c r="I20" s="9">
        <v>12998668</v>
      </c>
      <c r="J20" s="9">
        <v>12519631</v>
      </c>
      <c r="K20" s="9">
        <v>12591237</v>
      </c>
      <c r="L20" s="9">
        <v>13232391</v>
      </c>
      <c r="M20" s="9">
        <v>13443571</v>
      </c>
      <c r="N20" s="21">
        <v>13076300</v>
      </c>
      <c r="O20" s="9">
        <v>13879672</v>
      </c>
      <c r="P20" s="21">
        <v>14015110</v>
      </c>
      <c r="Q20" s="21">
        <v>15248790</v>
      </c>
      <c r="R20" s="21">
        <v>14678877</v>
      </c>
      <c r="S20" s="21">
        <v>11013030</v>
      </c>
      <c r="T20" s="21">
        <v>15145723</v>
      </c>
      <c r="U20" s="24">
        <v>14992704</v>
      </c>
      <c r="V20" s="9">
        <v>11473881</v>
      </c>
      <c r="W20" s="9">
        <v>11433474</v>
      </c>
      <c r="X20" s="21">
        <v>11426846</v>
      </c>
      <c r="Y20" s="21">
        <v>11267983</v>
      </c>
      <c r="Z20" s="21">
        <v>10782891</v>
      </c>
      <c r="AA20" s="21">
        <v>11722004</v>
      </c>
      <c r="AB20" s="21">
        <v>11754608</v>
      </c>
      <c r="AC20" s="25">
        <v>11848402</v>
      </c>
      <c r="AD20" s="25">
        <v>12473480</v>
      </c>
      <c r="AE20" s="25">
        <v>12222150</v>
      </c>
      <c r="AF20" s="25">
        <v>12894708</v>
      </c>
      <c r="AG20" s="25">
        <v>13246194</v>
      </c>
    </row>
    <row r="21" spans="1:33" ht="15.75" thickBot="1" x14ac:dyDescent="0.3">
      <c r="A21" s="8" t="s">
        <v>37</v>
      </c>
      <c r="B21" s="9">
        <v>6005885</v>
      </c>
      <c r="C21" s="9">
        <v>7685913</v>
      </c>
      <c r="D21" s="9">
        <v>8933593</v>
      </c>
      <c r="E21" s="9">
        <v>9508836</v>
      </c>
      <c r="F21" s="9">
        <v>8306293</v>
      </c>
      <c r="G21" s="9">
        <v>9445716</v>
      </c>
      <c r="H21" s="9">
        <v>9822603</v>
      </c>
      <c r="I21" s="9">
        <v>10411007</v>
      </c>
      <c r="J21" s="9">
        <v>5359765</v>
      </c>
      <c r="K21" s="9">
        <v>5256352</v>
      </c>
      <c r="L21" s="9">
        <v>5347573</v>
      </c>
      <c r="M21" s="9">
        <v>5485742</v>
      </c>
      <c r="N21" s="21">
        <v>5587873</v>
      </c>
      <c r="O21" s="9">
        <v>5927781</v>
      </c>
      <c r="P21" s="21">
        <v>5442074</v>
      </c>
      <c r="Q21" s="21">
        <v>7313505</v>
      </c>
      <c r="R21" s="21">
        <v>6244179</v>
      </c>
      <c r="S21" s="21">
        <v>4660795</v>
      </c>
      <c r="T21" s="21">
        <v>6543732</v>
      </c>
      <c r="U21" s="24">
        <v>-6848410</v>
      </c>
      <c r="V21" s="9">
        <v>-4979417</v>
      </c>
      <c r="W21" s="9">
        <v>4699691</v>
      </c>
      <c r="X21" s="21">
        <v>4233485</v>
      </c>
      <c r="Y21" s="21">
        <v>4276193</v>
      </c>
      <c r="Z21" s="21">
        <v>4571552</v>
      </c>
      <c r="AA21" s="21">
        <v>4698478</v>
      </c>
      <c r="AB21" s="21">
        <v>4133726</v>
      </c>
      <c r="AC21" s="25">
        <v>4547899</v>
      </c>
      <c r="AD21" s="25">
        <v>4929560</v>
      </c>
      <c r="AE21" s="25">
        <v>5057995</v>
      </c>
      <c r="AF21" s="25">
        <v>5270609</v>
      </c>
      <c r="AG21" s="25">
        <v>5235332</v>
      </c>
    </row>
    <row r="22" spans="1:33" ht="15.75" thickBot="1" x14ac:dyDescent="0.3">
      <c r="A22" s="8" t="s">
        <v>38</v>
      </c>
      <c r="B22" s="9">
        <v>3568822</v>
      </c>
      <c r="C22" s="9">
        <v>4344549</v>
      </c>
      <c r="D22" s="9">
        <v>4604163</v>
      </c>
      <c r="E22" s="9">
        <v>2817607</v>
      </c>
      <c r="F22" s="9">
        <v>3836491</v>
      </c>
      <c r="G22" s="9">
        <v>3228404</v>
      </c>
      <c r="H22" s="9">
        <v>3111641</v>
      </c>
      <c r="I22" s="9">
        <v>2587661</v>
      </c>
      <c r="J22" s="9">
        <v>7159866</v>
      </c>
      <c r="K22" s="9">
        <v>7334885</v>
      </c>
      <c r="L22" s="9">
        <v>7884818</v>
      </c>
      <c r="M22" s="9">
        <v>7957829</v>
      </c>
      <c r="N22" s="21">
        <v>7488427</v>
      </c>
      <c r="O22" s="9">
        <v>7951891</v>
      </c>
      <c r="P22" s="21">
        <v>8073036</v>
      </c>
      <c r="Q22" s="21">
        <v>7935285</v>
      </c>
      <c r="R22" s="21">
        <v>8434698</v>
      </c>
      <c r="S22" s="21">
        <v>6352235</v>
      </c>
      <c r="T22" s="21">
        <v>8601991</v>
      </c>
      <c r="U22" s="24">
        <v>8144294</v>
      </c>
      <c r="V22" s="9">
        <v>6494464</v>
      </c>
      <c r="W22" s="9">
        <v>6733183</v>
      </c>
      <c r="X22" s="21">
        <v>7193361</v>
      </c>
      <c r="Y22" s="21">
        <v>6991790</v>
      </c>
      <c r="Z22" s="21">
        <v>6211339</v>
      </c>
      <c r="AA22" s="21">
        <v>7023526</v>
      </c>
      <c r="AB22" s="21">
        <v>7620880</v>
      </c>
      <c r="AC22" s="25">
        <v>7300503</v>
      </c>
      <c r="AD22" s="25">
        <v>7543920</v>
      </c>
      <c r="AE22" s="25">
        <v>7164155</v>
      </c>
      <c r="AF22" s="25">
        <v>7624099</v>
      </c>
      <c r="AG22" s="25">
        <v>8010862</v>
      </c>
    </row>
    <row r="23" spans="1:33" ht="15.75" thickBot="1" x14ac:dyDescent="0.3">
      <c r="A23" s="8" t="s">
        <v>39</v>
      </c>
      <c r="B23" s="9">
        <v>33251</v>
      </c>
      <c r="C23" s="9">
        <v>212372</v>
      </c>
      <c r="D23" s="9">
        <v>245942</v>
      </c>
      <c r="E23" s="9">
        <v>132043</v>
      </c>
      <c r="F23" s="9">
        <v>97299</v>
      </c>
      <c r="G23" s="9">
        <v>87514</v>
      </c>
      <c r="H23" s="9">
        <v>55482</v>
      </c>
      <c r="I23" s="9">
        <v>121699</v>
      </c>
      <c r="J23" s="9">
        <v>49428</v>
      </c>
      <c r="K23" s="9">
        <v>68154</v>
      </c>
      <c r="L23" s="9">
        <v>187602</v>
      </c>
      <c r="M23" s="9">
        <v>12561</v>
      </c>
      <c r="N23" s="21">
        <v>175932</v>
      </c>
      <c r="O23" s="9">
        <v>188706</v>
      </c>
      <c r="P23" s="21">
        <v>115600</v>
      </c>
      <c r="Q23" s="21">
        <v>263804</v>
      </c>
      <c r="R23" s="21">
        <v>270717</v>
      </c>
      <c r="S23" s="21">
        <v>375878</v>
      </c>
      <c r="T23" s="21">
        <v>100121</v>
      </c>
      <c r="U23" s="24">
        <v>106967</v>
      </c>
      <c r="V23" s="9">
        <v>208203</v>
      </c>
      <c r="W23" s="9">
        <v>265280</v>
      </c>
      <c r="X23" s="21">
        <v>611378</v>
      </c>
      <c r="Y23" s="21">
        <v>1183237</v>
      </c>
      <c r="Z23" s="21">
        <v>389285</v>
      </c>
      <c r="AA23" s="21">
        <v>450447</v>
      </c>
      <c r="AB23" s="21">
        <v>142403</v>
      </c>
      <c r="AC23" s="25">
        <v>333227</v>
      </c>
      <c r="AD23" s="25">
        <v>494786</v>
      </c>
      <c r="AE23" s="25">
        <v>405793</v>
      </c>
      <c r="AF23" s="25">
        <v>338690</v>
      </c>
      <c r="AG23" s="25">
        <v>321234</v>
      </c>
    </row>
    <row r="24" spans="1:33" ht="15.75" thickBot="1" x14ac:dyDescent="0.3">
      <c r="A24" s="8" t="s">
        <v>40</v>
      </c>
      <c r="B24" s="21">
        <v>3602073</v>
      </c>
      <c r="C24" s="21">
        <v>4556921</v>
      </c>
      <c r="D24" s="21">
        <v>4850105</v>
      </c>
      <c r="E24" s="21">
        <v>2949650</v>
      </c>
      <c r="F24" s="21">
        <v>3933790</v>
      </c>
      <c r="G24" s="21">
        <v>3315918</v>
      </c>
      <c r="H24" s="21">
        <v>3167123</v>
      </c>
      <c r="I24" s="21">
        <v>2709360</v>
      </c>
      <c r="J24" s="9">
        <v>7209294</v>
      </c>
      <c r="K24" s="9">
        <v>7403039</v>
      </c>
      <c r="L24" s="9">
        <v>8072420</v>
      </c>
      <c r="M24" s="9">
        <v>7970390</v>
      </c>
      <c r="N24" s="21">
        <v>7664359</v>
      </c>
      <c r="O24" s="9">
        <v>8140597</v>
      </c>
      <c r="P24" s="21">
        <v>8188636</v>
      </c>
      <c r="Q24" s="21">
        <v>8199089</v>
      </c>
      <c r="R24" s="21">
        <v>8705415</v>
      </c>
      <c r="S24" s="21">
        <v>6728113</v>
      </c>
      <c r="T24" s="21">
        <v>8702112</v>
      </c>
      <c r="U24" s="25">
        <v>8251261</v>
      </c>
      <c r="V24" s="9">
        <v>6702667</v>
      </c>
      <c r="W24" s="9">
        <v>6998463</v>
      </c>
      <c r="X24" s="21">
        <v>7804739</v>
      </c>
      <c r="Y24" s="21">
        <v>8175027</v>
      </c>
      <c r="Z24" s="21">
        <v>6600624</v>
      </c>
      <c r="AA24" s="21">
        <v>7473973</v>
      </c>
      <c r="AB24" s="21">
        <v>7763283</v>
      </c>
      <c r="AC24" s="25">
        <v>7633730</v>
      </c>
      <c r="AD24" s="25">
        <v>8038706</v>
      </c>
      <c r="AE24" s="25">
        <v>7569948</v>
      </c>
      <c r="AF24" s="25">
        <v>7962789</v>
      </c>
      <c r="AG24" s="25">
        <v>8332096</v>
      </c>
    </row>
    <row r="25" spans="1:33" ht="15.75" thickBot="1" x14ac:dyDescent="0.3">
      <c r="A25" s="8" t="s">
        <v>56</v>
      </c>
      <c r="B25" s="21">
        <v>606742</v>
      </c>
      <c r="C25" s="21">
        <v>416867</v>
      </c>
      <c r="D25" s="21">
        <v>636430</v>
      </c>
      <c r="E25" s="21">
        <v>726977</v>
      </c>
      <c r="F25" s="21">
        <v>564078</v>
      </c>
      <c r="G25" s="21">
        <v>626298</v>
      </c>
      <c r="H25" s="21">
        <v>767475</v>
      </c>
      <c r="I25" s="21">
        <v>729318</v>
      </c>
      <c r="J25" s="9">
        <v>831191</v>
      </c>
      <c r="K25" s="9">
        <v>1046210</v>
      </c>
      <c r="L25" s="9">
        <v>770990</v>
      </c>
      <c r="M25" s="9">
        <v>970889</v>
      </c>
      <c r="N25" s="21">
        <v>1021474</v>
      </c>
      <c r="O25" s="21">
        <v>1003254</v>
      </c>
      <c r="P25" s="21">
        <v>1004257</v>
      </c>
      <c r="Q25" s="21">
        <v>1005054</v>
      </c>
      <c r="R25" s="21">
        <v>1112335</v>
      </c>
      <c r="S25" s="21">
        <v>1061685</v>
      </c>
      <c r="T25" s="21">
        <v>949787</v>
      </c>
      <c r="U25" s="25">
        <v>788030</v>
      </c>
      <c r="V25" s="21">
        <v>754551</v>
      </c>
      <c r="W25" s="21">
        <v>730324</v>
      </c>
      <c r="X25" s="21">
        <v>811515</v>
      </c>
      <c r="Y25" s="21">
        <v>822980</v>
      </c>
      <c r="Z25" s="21">
        <v>711446</v>
      </c>
      <c r="AA25" s="21">
        <v>856314</v>
      </c>
      <c r="AB25" s="21">
        <v>769886</v>
      </c>
      <c r="AC25" s="25">
        <v>983802</v>
      </c>
      <c r="AD25" s="25">
        <v>787700</v>
      </c>
      <c r="AE25" s="25">
        <v>991140</v>
      </c>
      <c r="AF25" s="25">
        <v>872884</v>
      </c>
      <c r="AG25" s="25">
        <v>1200705</v>
      </c>
    </row>
    <row r="26" spans="1:33" ht="15.75" thickBot="1" x14ac:dyDescent="0.3">
      <c r="A26" s="8" t="s">
        <v>55</v>
      </c>
      <c r="B26" s="21">
        <v>1112074</v>
      </c>
      <c r="C26" s="21">
        <v>764059</v>
      </c>
      <c r="D26" s="21">
        <v>1166489</v>
      </c>
      <c r="E26" s="21">
        <v>1332449</v>
      </c>
      <c r="F26" s="21">
        <v>1033876</v>
      </c>
      <c r="G26" s="21">
        <v>1147918</v>
      </c>
      <c r="H26" s="21">
        <v>1406674</v>
      </c>
      <c r="I26" s="21">
        <v>1336739</v>
      </c>
      <c r="J26" s="9">
        <v>1868830</v>
      </c>
      <c r="K26" s="9">
        <v>1784772</v>
      </c>
      <c r="L26" s="9">
        <v>1696574</v>
      </c>
      <c r="M26" s="9">
        <v>1742704</v>
      </c>
      <c r="N26" s="21">
        <v>1652558</v>
      </c>
      <c r="O26" s="21">
        <v>1863017</v>
      </c>
      <c r="P26" s="21">
        <v>1870606</v>
      </c>
      <c r="Q26" s="21">
        <v>1909387</v>
      </c>
      <c r="R26" s="21">
        <v>1948582</v>
      </c>
      <c r="S26" s="21">
        <v>1983869</v>
      </c>
      <c r="T26" s="21">
        <v>2398835</v>
      </c>
      <c r="U26" s="26">
        <v>1541162</v>
      </c>
      <c r="V26" s="21">
        <v>1406186</v>
      </c>
      <c r="W26" s="21">
        <v>1296505</v>
      </c>
      <c r="X26" s="21">
        <v>1406744</v>
      </c>
      <c r="Y26" s="21">
        <v>1664110</v>
      </c>
      <c r="Z26" s="21">
        <v>1209514</v>
      </c>
      <c r="AA26" s="21">
        <v>1487205</v>
      </c>
      <c r="AB26" s="21">
        <v>1441017</v>
      </c>
      <c r="AC26" s="25">
        <v>1716807</v>
      </c>
      <c r="AD26" s="25">
        <v>1596372</v>
      </c>
      <c r="AE26" s="25">
        <v>1379768</v>
      </c>
      <c r="AF26" s="25">
        <v>1793377</v>
      </c>
      <c r="AG26" s="25">
        <v>2351093</v>
      </c>
    </row>
    <row r="27" spans="1:33" ht="15.75" thickBot="1" x14ac:dyDescent="0.3">
      <c r="A27" s="8" t="s">
        <v>42</v>
      </c>
      <c r="B27" s="9">
        <v>1335380</v>
      </c>
      <c r="C27" s="9">
        <v>1446555</v>
      </c>
      <c r="D27" s="9">
        <v>1877222</v>
      </c>
      <c r="E27" s="9">
        <v>1748357</v>
      </c>
      <c r="F27" s="9">
        <v>1774477</v>
      </c>
      <c r="G27" s="9">
        <v>1907391</v>
      </c>
      <c r="H27" s="9">
        <v>1980469</v>
      </c>
      <c r="I27" s="9">
        <v>2180204</v>
      </c>
      <c r="J27" s="9">
        <v>2106566</v>
      </c>
      <c r="K27" s="9">
        <v>2159067</v>
      </c>
      <c r="L27" s="9">
        <v>2162389</v>
      </c>
      <c r="M27" s="9">
        <v>2216690</v>
      </c>
      <c r="N27" s="21">
        <v>2145649</v>
      </c>
      <c r="O27" s="9">
        <v>2302727</v>
      </c>
      <c r="P27" s="21">
        <v>2197990</v>
      </c>
      <c r="Q27" s="21">
        <v>2207082</v>
      </c>
      <c r="R27" s="21">
        <v>2195997</v>
      </c>
      <c r="S27" s="21">
        <v>1572808</v>
      </c>
      <c r="T27" s="21">
        <v>2236782</v>
      </c>
      <c r="U27" s="26">
        <v>2407254</v>
      </c>
      <c r="V27" s="9">
        <v>1615784</v>
      </c>
      <c r="W27" s="9">
        <v>1571855</v>
      </c>
      <c r="X27" s="21">
        <v>1458426</v>
      </c>
      <c r="Y27" s="21">
        <v>1497838</v>
      </c>
      <c r="Z27" s="21">
        <v>1439147</v>
      </c>
      <c r="AA27" s="21">
        <v>1512635</v>
      </c>
      <c r="AB27" s="21">
        <v>1869855</v>
      </c>
      <c r="AC27" s="25">
        <v>1816910</v>
      </c>
      <c r="AD27" s="25">
        <v>1530455</v>
      </c>
      <c r="AE27" s="25">
        <v>1577711</v>
      </c>
      <c r="AF27" s="25">
        <v>1574537</v>
      </c>
      <c r="AG27" s="25">
        <v>1638493</v>
      </c>
    </row>
    <row r="28" spans="1:33" ht="15.75" thickBot="1" x14ac:dyDescent="0.3">
      <c r="A28" s="8" t="s">
        <v>43</v>
      </c>
      <c r="B28" s="9">
        <v>171173</v>
      </c>
      <c r="C28" s="9">
        <v>435898</v>
      </c>
      <c r="D28" s="9">
        <v>407696</v>
      </c>
      <c r="E28" s="9">
        <v>417434</v>
      </c>
      <c r="F28" s="9">
        <v>363897</v>
      </c>
      <c r="G28" s="9">
        <v>326759</v>
      </c>
      <c r="H28" s="9">
        <v>342497</v>
      </c>
      <c r="I28" s="9">
        <v>352147</v>
      </c>
      <c r="J28" s="9">
        <v>49428</v>
      </c>
      <c r="K28" s="9">
        <v>338525</v>
      </c>
      <c r="L28" s="9">
        <v>730785</v>
      </c>
      <c r="M28" s="9">
        <v>293366</v>
      </c>
      <c r="N28" s="21">
        <v>435144</v>
      </c>
      <c r="O28" s="9">
        <v>819106</v>
      </c>
      <c r="P28" s="21">
        <v>691194</v>
      </c>
      <c r="Q28" s="21">
        <v>551549</v>
      </c>
      <c r="R28" s="21">
        <v>757534</v>
      </c>
      <c r="S28" s="21">
        <v>33043</v>
      </c>
      <c r="T28" s="21">
        <v>614128</v>
      </c>
      <c r="U28" s="25">
        <v>628026</v>
      </c>
      <c r="V28" s="9">
        <v>-22306</v>
      </c>
      <c r="W28" s="9">
        <v>46523</v>
      </c>
      <c r="X28" s="21">
        <v>580694</v>
      </c>
      <c r="Y28" s="21">
        <v>360269</v>
      </c>
      <c r="Z28" s="21">
        <v>442333</v>
      </c>
      <c r="AA28" s="21">
        <v>594424</v>
      </c>
      <c r="AB28" s="21">
        <v>39050</v>
      </c>
      <c r="AC28" s="25">
        <v>37183</v>
      </c>
      <c r="AD28" s="25">
        <v>1294564</v>
      </c>
      <c r="AE28" s="25">
        <v>749379</v>
      </c>
      <c r="AF28" s="25">
        <v>1114674</v>
      </c>
      <c r="AG28" s="25">
        <v>888559</v>
      </c>
    </row>
    <row r="29" spans="1:33" ht="15.75" thickBot="1" x14ac:dyDescent="0.3">
      <c r="A29" s="8" t="s">
        <v>44</v>
      </c>
      <c r="B29" s="9">
        <v>6005885</v>
      </c>
      <c r="C29" s="9">
        <v>7685913</v>
      </c>
      <c r="D29" s="9">
        <v>8933593</v>
      </c>
      <c r="E29" s="9">
        <v>9508836</v>
      </c>
      <c r="F29" s="9">
        <v>8306293</v>
      </c>
      <c r="G29" s="9">
        <v>9445716</v>
      </c>
      <c r="H29" s="9">
        <v>9822603</v>
      </c>
      <c r="I29" s="9">
        <v>10411007</v>
      </c>
      <c r="J29" s="9">
        <v>4806587</v>
      </c>
      <c r="K29" s="9">
        <v>4990049</v>
      </c>
      <c r="L29" s="9">
        <v>4629953</v>
      </c>
      <c r="M29" s="9">
        <v>4930283</v>
      </c>
      <c r="N29" s="21">
        <v>6548324</v>
      </c>
      <c r="O29" s="9">
        <v>6748325</v>
      </c>
      <c r="P29" s="21">
        <v>6096913</v>
      </c>
      <c r="Q29" s="21">
        <v>8011364</v>
      </c>
      <c r="R29" s="21">
        <v>6989942</v>
      </c>
      <c r="S29" s="21">
        <v>4680031</v>
      </c>
      <c r="T29" s="21">
        <v>6857234</v>
      </c>
      <c r="U29" s="25">
        <v>6946322</v>
      </c>
      <c r="V29" s="9">
        <v>4999032</v>
      </c>
      <c r="W29" s="9">
        <v>4782644</v>
      </c>
      <c r="X29" s="21">
        <v>4257379</v>
      </c>
      <c r="Y29" s="21">
        <v>4345197</v>
      </c>
      <c r="Z29" s="21">
        <v>3802440</v>
      </c>
      <c r="AA29" s="21">
        <v>4450578</v>
      </c>
      <c r="AB29" s="21">
        <v>4720552</v>
      </c>
      <c r="AC29" s="25">
        <v>4861025</v>
      </c>
      <c r="AD29" s="25">
        <v>5209091</v>
      </c>
      <c r="AE29" s="25">
        <v>4697998</v>
      </c>
      <c r="AF29" s="25">
        <v>5355472</v>
      </c>
      <c r="AG29" s="25">
        <v>6078852</v>
      </c>
    </row>
    <row r="30" spans="1:33" ht="15.75" thickBot="1" x14ac:dyDescent="0.3">
      <c r="A30" s="8" t="s">
        <v>45</v>
      </c>
      <c r="B30" s="9">
        <v>3202620</v>
      </c>
      <c r="C30" s="9">
        <v>4208417</v>
      </c>
      <c r="D30" s="9">
        <v>3672123</v>
      </c>
      <c r="E30" s="9">
        <v>959194</v>
      </c>
      <c r="F30" s="9">
        <v>2664741</v>
      </c>
      <c r="G30" s="9">
        <v>3460495</v>
      </c>
      <c r="H30" s="9">
        <v>2687908</v>
      </c>
      <c r="I30" s="9">
        <v>3268799</v>
      </c>
      <c r="J30" s="9">
        <v>2145119</v>
      </c>
      <c r="K30" s="9">
        <v>2441045</v>
      </c>
      <c r="L30" s="9">
        <v>3740571</v>
      </c>
      <c r="M30" s="9">
        <v>2656268</v>
      </c>
      <c r="N30" s="21">
        <v>1990497</v>
      </c>
      <c r="O30" s="9">
        <v>2428928</v>
      </c>
      <c r="P30" s="21">
        <v>1608321</v>
      </c>
      <c r="Q30" s="21">
        <v>2467674</v>
      </c>
      <c r="R30" s="21">
        <v>2939185</v>
      </c>
      <c r="S30" s="21">
        <v>2469604</v>
      </c>
      <c r="T30" s="21">
        <v>2313279</v>
      </c>
      <c r="U30" s="24">
        <v>1287057</v>
      </c>
      <c r="V30" s="9">
        <v>1653930</v>
      </c>
      <c r="W30" s="9">
        <v>1529639</v>
      </c>
      <c r="X30" s="21">
        <v>3547360</v>
      </c>
      <c r="Y30" s="21">
        <v>3829830</v>
      </c>
      <c r="Z30" s="21">
        <v>2798184</v>
      </c>
      <c r="AA30" s="21">
        <v>3023395</v>
      </c>
      <c r="AB30" s="21">
        <v>3682525</v>
      </c>
      <c r="AC30" s="25">
        <v>2717211</v>
      </c>
      <c r="AD30" s="25">
        <v>2829615</v>
      </c>
      <c r="AE30" s="25">
        <v>2871950</v>
      </c>
      <c r="AF30" s="25">
        <v>2607317</v>
      </c>
      <c r="AG30" s="25">
        <v>2253244</v>
      </c>
    </row>
    <row r="31" spans="1:33" ht="15.75" thickBot="1" x14ac:dyDescent="0.3">
      <c r="A31" s="8" t="s">
        <v>46</v>
      </c>
      <c r="B31" s="9">
        <v>96050</v>
      </c>
      <c r="C31" s="9">
        <v>94015</v>
      </c>
      <c r="D31" s="9">
        <v>98736</v>
      </c>
      <c r="E31" s="9">
        <v>86712</v>
      </c>
      <c r="F31" s="9">
        <v>103367</v>
      </c>
      <c r="G31" s="9">
        <v>73262</v>
      </c>
      <c r="H31" s="9">
        <v>88673</v>
      </c>
      <c r="I31" s="9">
        <v>68733</v>
      </c>
      <c r="J31" s="9">
        <v>42870</v>
      </c>
      <c r="K31" s="9">
        <v>21839</v>
      </c>
      <c r="L31" s="9">
        <v>22033</v>
      </c>
      <c r="M31" s="9">
        <v>31464</v>
      </c>
      <c r="N31" s="21">
        <v>30400</v>
      </c>
      <c r="O31" s="9">
        <v>30428</v>
      </c>
      <c r="P31" s="21">
        <v>30827</v>
      </c>
      <c r="Q31" s="21">
        <v>26355</v>
      </c>
      <c r="R31" s="21">
        <v>55089</v>
      </c>
      <c r="S31" s="21">
        <v>66399</v>
      </c>
      <c r="T31" s="21">
        <v>90470</v>
      </c>
      <c r="U31" s="24">
        <v>35413</v>
      </c>
      <c r="V31" s="9">
        <v>-59761</v>
      </c>
      <c r="W31" s="9">
        <v>57522</v>
      </c>
      <c r="X31" s="21">
        <v>161775</v>
      </c>
      <c r="Y31" s="21">
        <v>207135</v>
      </c>
      <c r="Z31" s="21">
        <v>407248</v>
      </c>
      <c r="AA31" s="21">
        <v>220047</v>
      </c>
      <c r="AB31" s="21">
        <v>207429</v>
      </c>
      <c r="AC31" s="25">
        <v>171985</v>
      </c>
      <c r="AD31" s="25">
        <v>326038</v>
      </c>
      <c r="AE31" s="25">
        <v>313620</v>
      </c>
      <c r="AF31" s="25">
        <v>285164</v>
      </c>
      <c r="AG31" s="25">
        <v>302753</v>
      </c>
    </row>
    <row r="32" spans="1:33" ht="15.75" thickBot="1" x14ac:dyDescent="0.3">
      <c r="A32" s="8" t="s">
        <v>45</v>
      </c>
      <c r="B32" s="9">
        <v>3029269</v>
      </c>
      <c r="C32" s="9">
        <v>3839882</v>
      </c>
      <c r="D32" s="9">
        <v>3012329</v>
      </c>
      <c r="E32" s="9">
        <v>1156366</v>
      </c>
      <c r="F32" s="9">
        <v>2487749</v>
      </c>
      <c r="G32" s="9">
        <v>2990217</v>
      </c>
      <c r="H32" s="9">
        <v>2402615</v>
      </c>
      <c r="I32" s="9">
        <v>2941480</v>
      </c>
      <c r="J32" s="9">
        <v>1772025</v>
      </c>
      <c r="K32" s="9">
        <v>2061991</v>
      </c>
      <c r="L32" s="9">
        <v>3316799</v>
      </c>
      <c r="M32" s="9">
        <v>2289557</v>
      </c>
      <c r="N32" s="21">
        <v>1573124</v>
      </c>
      <c r="O32" s="9">
        <v>2256366</v>
      </c>
      <c r="P32" s="21">
        <v>1562477</v>
      </c>
      <c r="Q32" s="21">
        <v>2278156</v>
      </c>
      <c r="R32" s="21">
        <v>2521155</v>
      </c>
      <c r="S32" s="21">
        <v>2407572</v>
      </c>
      <c r="T32" s="21">
        <v>1953795</v>
      </c>
      <c r="U32" s="24">
        <v>467843</v>
      </c>
      <c r="V32" s="9">
        <v>1549963</v>
      </c>
      <c r="W32" s="9">
        <v>1428947</v>
      </c>
      <c r="X32" s="21">
        <v>3385585</v>
      </c>
      <c r="Y32" s="21">
        <v>3622695</v>
      </c>
      <c r="Z32" s="21">
        <v>2390936</v>
      </c>
      <c r="AA32" s="21">
        <v>2803348</v>
      </c>
      <c r="AB32" s="21">
        <v>3371746</v>
      </c>
      <c r="AC32" s="25">
        <v>2442385</v>
      </c>
      <c r="AD32" s="25">
        <v>2503577</v>
      </c>
      <c r="AE32" s="25">
        <v>2558330</v>
      </c>
      <c r="AF32" s="25">
        <v>2322153</v>
      </c>
      <c r="AG32" s="25">
        <v>1950491</v>
      </c>
    </row>
    <row r="33" spans="1:33" x14ac:dyDescent="0.25">
      <c r="A33" s="8" t="s">
        <v>48</v>
      </c>
      <c r="B33" s="9">
        <v>16489</v>
      </c>
      <c r="C33" s="9">
        <v>16489</v>
      </c>
      <c r="D33" s="9">
        <v>16489</v>
      </c>
      <c r="E33" s="9">
        <v>16489</v>
      </c>
      <c r="F33" s="9">
        <v>16774</v>
      </c>
      <c r="G33" s="9">
        <v>16774</v>
      </c>
      <c r="H33" s="9">
        <v>16774</v>
      </c>
      <c r="I33" s="9">
        <v>16774</v>
      </c>
      <c r="J33" s="9">
        <v>16835</v>
      </c>
      <c r="K33" s="9">
        <v>16835</v>
      </c>
      <c r="L33" s="9">
        <v>16835</v>
      </c>
      <c r="M33" s="9">
        <v>16835</v>
      </c>
      <c r="N33" s="21">
        <v>16533</v>
      </c>
      <c r="O33" s="21">
        <v>16533</v>
      </c>
      <c r="P33" s="21">
        <v>16533</v>
      </c>
      <c r="Q33" s="21">
        <v>16533</v>
      </c>
      <c r="R33" s="21">
        <v>1700</v>
      </c>
      <c r="S33" s="21">
        <v>1700</v>
      </c>
      <c r="T33" s="21">
        <v>1700</v>
      </c>
      <c r="U33" s="21">
        <v>1700</v>
      </c>
      <c r="V33" s="9">
        <v>17200</v>
      </c>
      <c r="W33" s="9">
        <v>17200</v>
      </c>
      <c r="X33" s="9">
        <v>17200</v>
      </c>
      <c r="Y33" s="9">
        <v>17200</v>
      </c>
      <c r="Z33" s="21">
        <v>17729</v>
      </c>
      <c r="AA33" s="21">
        <v>17729</v>
      </c>
      <c r="AB33" s="21">
        <v>17729</v>
      </c>
      <c r="AC33" s="21">
        <v>17729</v>
      </c>
      <c r="AD33" s="37">
        <v>21190</v>
      </c>
      <c r="AE33" s="37">
        <v>21190</v>
      </c>
      <c r="AF33" s="37">
        <v>21190</v>
      </c>
      <c r="AG33" s="37">
        <v>21190</v>
      </c>
    </row>
    <row r="34" spans="1:33" x14ac:dyDescent="0.25">
      <c r="A34" s="8" t="s">
        <v>75</v>
      </c>
      <c r="B34" s="8">
        <v>53</v>
      </c>
      <c r="C34" s="8">
        <v>53</v>
      </c>
      <c r="D34" s="8">
        <v>53</v>
      </c>
      <c r="E34" s="8">
        <v>53</v>
      </c>
      <c r="F34" s="8">
        <v>53</v>
      </c>
      <c r="G34" s="8">
        <v>53</v>
      </c>
      <c r="H34" s="8">
        <v>53</v>
      </c>
      <c r="I34" s="8">
        <v>53</v>
      </c>
      <c r="J34" s="8">
        <v>51</v>
      </c>
      <c r="K34" s="8">
        <v>51</v>
      </c>
      <c r="L34" s="8">
        <v>51</v>
      </c>
      <c r="M34" s="8">
        <v>51</v>
      </c>
      <c r="N34" s="30">
        <v>36</v>
      </c>
      <c r="O34" s="30">
        <v>36</v>
      </c>
      <c r="P34" s="30">
        <v>36</v>
      </c>
      <c r="Q34" s="30">
        <v>36</v>
      </c>
      <c r="R34" s="30">
        <v>40</v>
      </c>
      <c r="S34" s="30">
        <v>40</v>
      </c>
      <c r="T34" s="30">
        <v>40</v>
      </c>
      <c r="U34" s="30">
        <v>40</v>
      </c>
      <c r="V34" s="9">
        <v>48</v>
      </c>
      <c r="W34" s="9">
        <v>48</v>
      </c>
      <c r="X34" s="9">
        <v>48</v>
      </c>
      <c r="Y34" s="9">
        <v>48</v>
      </c>
      <c r="Z34" s="21">
        <v>57</v>
      </c>
      <c r="AA34" s="21">
        <v>57</v>
      </c>
      <c r="AB34" s="21">
        <v>57</v>
      </c>
      <c r="AC34" s="38">
        <v>57</v>
      </c>
      <c r="AD34" s="33">
        <v>49</v>
      </c>
      <c r="AE34" s="33">
        <v>49</v>
      </c>
      <c r="AF34" s="33">
        <v>49</v>
      </c>
      <c r="AG34" s="33">
        <v>49</v>
      </c>
    </row>
    <row r="35" spans="1:33" s="8" customFormat="1" x14ac:dyDescent="0.25">
      <c r="A35" s="8" t="s">
        <v>76</v>
      </c>
      <c r="B35" s="8">
        <v>4.3</v>
      </c>
      <c r="C35" s="8">
        <v>4.3</v>
      </c>
      <c r="D35" s="8">
        <v>4.3</v>
      </c>
      <c r="E35" s="8">
        <v>4.3</v>
      </c>
      <c r="F35" s="8">
        <v>4.3</v>
      </c>
      <c r="G35" s="8">
        <v>4.3</v>
      </c>
      <c r="H35" s="8">
        <v>4.3</v>
      </c>
      <c r="I35" s="8">
        <v>4.3</v>
      </c>
      <c r="J35" s="8">
        <v>4.5</v>
      </c>
      <c r="K35" s="8">
        <v>4.5</v>
      </c>
      <c r="L35" s="8">
        <v>4.5</v>
      </c>
      <c r="M35" s="8">
        <v>4.5</v>
      </c>
      <c r="N35" s="30">
        <v>4.8</v>
      </c>
      <c r="O35" s="30">
        <v>4.8</v>
      </c>
      <c r="P35" s="30">
        <v>4.8</v>
      </c>
      <c r="Q35" s="30">
        <v>4.8</v>
      </c>
      <c r="R35" s="30">
        <v>4.8</v>
      </c>
      <c r="S35" s="30">
        <v>4.8</v>
      </c>
      <c r="T35" s="30">
        <v>4.8</v>
      </c>
      <c r="U35" s="30">
        <v>4.8</v>
      </c>
      <c r="V35" s="35">
        <v>4.7</v>
      </c>
      <c r="W35" s="35">
        <v>4.7</v>
      </c>
      <c r="X35" s="35">
        <v>4.7</v>
      </c>
      <c r="Y35" s="35">
        <v>4.7</v>
      </c>
      <c r="Z35" s="36">
        <v>4.5999999999999996</v>
      </c>
      <c r="AA35" s="36">
        <v>4.5999999999999996</v>
      </c>
      <c r="AB35" s="36">
        <v>4.5999999999999996</v>
      </c>
      <c r="AC35" s="39">
        <v>4.5999999999999996</v>
      </c>
      <c r="AD35" s="40">
        <v>4.7</v>
      </c>
      <c r="AE35" s="40">
        <v>4.7</v>
      </c>
      <c r="AF35" s="40">
        <v>4.7</v>
      </c>
      <c r="AG35" s="40">
        <v>4.7</v>
      </c>
    </row>
    <row r="36" spans="1:33" x14ac:dyDescent="0.25">
      <c r="A36" s="8" t="s">
        <v>57</v>
      </c>
      <c r="B36" s="8">
        <v>34</v>
      </c>
      <c r="C36" s="8">
        <v>34</v>
      </c>
      <c r="D36" s="8">
        <v>34</v>
      </c>
      <c r="E36" s="8">
        <v>34</v>
      </c>
      <c r="F36" s="8">
        <v>29</v>
      </c>
      <c r="G36" s="8">
        <v>29</v>
      </c>
      <c r="H36" s="8">
        <v>29</v>
      </c>
      <c r="I36" s="8">
        <v>29</v>
      </c>
      <c r="J36" s="8">
        <v>10</v>
      </c>
      <c r="K36" s="8">
        <v>10</v>
      </c>
      <c r="L36" s="8">
        <v>10</v>
      </c>
      <c r="M36" s="8">
        <v>10</v>
      </c>
      <c r="N36" s="31">
        <v>4</v>
      </c>
      <c r="O36" s="31">
        <v>4</v>
      </c>
      <c r="P36" s="31">
        <v>4</v>
      </c>
      <c r="Q36" s="41">
        <v>4</v>
      </c>
      <c r="R36" s="41">
        <v>14</v>
      </c>
      <c r="S36" s="41">
        <v>14</v>
      </c>
      <c r="T36" s="41">
        <v>14</v>
      </c>
      <c r="U36" s="41">
        <v>14</v>
      </c>
      <c r="V36" s="9">
        <v>27</v>
      </c>
      <c r="W36" s="9">
        <v>27</v>
      </c>
      <c r="X36" s="9">
        <v>27</v>
      </c>
      <c r="Y36" s="9">
        <v>27</v>
      </c>
      <c r="Z36" s="21">
        <v>35</v>
      </c>
      <c r="AA36" s="21">
        <v>35</v>
      </c>
      <c r="AB36" s="21">
        <v>35</v>
      </c>
      <c r="AC36" s="38">
        <v>35</v>
      </c>
      <c r="AD36" s="33">
        <v>29</v>
      </c>
      <c r="AE36" s="33">
        <v>29</v>
      </c>
      <c r="AF36" s="33">
        <v>29</v>
      </c>
      <c r="AG36" s="33">
        <v>29</v>
      </c>
    </row>
    <row r="37" spans="1:33" ht="15.75" thickBot="1" x14ac:dyDescent="0.3">
      <c r="A37" s="8" t="s">
        <v>58</v>
      </c>
      <c r="B37" s="8">
        <v>63</v>
      </c>
      <c r="C37" s="8">
        <v>63</v>
      </c>
      <c r="D37" s="8">
        <v>63</v>
      </c>
      <c r="E37" s="8">
        <v>63</v>
      </c>
      <c r="F37" s="8">
        <v>71</v>
      </c>
      <c r="G37" s="8">
        <v>71</v>
      </c>
      <c r="H37" s="8">
        <v>71</v>
      </c>
      <c r="I37" s="8">
        <v>71</v>
      </c>
      <c r="J37" s="8">
        <v>66</v>
      </c>
      <c r="K37" s="8">
        <v>66</v>
      </c>
      <c r="L37" s="8">
        <v>66</v>
      </c>
      <c r="M37" s="8">
        <v>66</v>
      </c>
      <c r="N37" s="25">
        <v>50</v>
      </c>
      <c r="O37" s="25">
        <v>50</v>
      </c>
      <c r="P37" s="25">
        <v>50</v>
      </c>
      <c r="Q37" s="25">
        <v>50</v>
      </c>
      <c r="R37" s="33">
        <v>59</v>
      </c>
      <c r="S37" s="33">
        <v>59</v>
      </c>
      <c r="T37" s="33">
        <v>59</v>
      </c>
      <c r="U37" s="33">
        <v>59</v>
      </c>
      <c r="V37" s="9">
        <v>70</v>
      </c>
      <c r="W37" s="9">
        <v>70</v>
      </c>
      <c r="X37" s="9">
        <v>70</v>
      </c>
      <c r="Y37" s="9">
        <v>70</v>
      </c>
      <c r="Z37" s="21">
        <v>64</v>
      </c>
      <c r="AA37" s="21">
        <v>64</v>
      </c>
      <c r="AB37" s="21">
        <v>64</v>
      </c>
      <c r="AC37" s="38">
        <v>64</v>
      </c>
      <c r="AD37" s="33">
        <v>60</v>
      </c>
      <c r="AE37" s="33">
        <v>60</v>
      </c>
      <c r="AF37" s="33">
        <v>60</v>
      </c>
      <c r="AG37" s="33">
        <v>60</v>
      </c>
    </row>
    <row r="38" spans="1:33" ht="15.75" thickBot="1" x14ac:dyDescent="0.3">
      <c r="A38" s="8" t="s">
        <v>59</v>
      </c>
      <c r="B38" s="8">
        <v>73</v>
      </c>
      <c r="C38" s="8">
        <v>73</v>
      </c>
      <c r="D38" s="8">
        <v>73</v>
      </c>
      <c r="E38" s="8">
        <v>73</v>
      </c>
      <c r="F38" s="8">
        <v>53</v>
      </c>
      <c r="G38" s="8">
        <v>53</v>
      </c>
      <c r="H38" s="8">
        <v>53</v>
      </c>
      <c r="I38" s="8">
        <v>53</v>
      </c>
      <c r="J38" s="8">
        <v>22</v>
      </c>
      <c r="K38" s="8">
        <v>22</v>
      </c>
      <c r="L38" s="8">
        <v>22</v>
      </c>
      <c r="M38" s="8">
        <v>22</v>
      </c>
      <c r="N38" s="32">
        <v>16</v>
      </c>
      <c r="O38" s="32">
        <v>16</v>
      </c>
      <c r="P38" s="32">
        <v>16</v>
      </c>
      <c r="Q38" s="32">
        <v>16</v>
      </c>
      <c r="R38" s="34">
        <v>22</v>
      </c>
      <c r="S38" s="34">
        <v>22</v>
      </c>
      <c r="T38" s="34">
        <v>22</v>
      </c>
      <c r="U38" s="34">
        <v>22</v>
      </c>
      <c r="V38" s="9">
        <v>27</v>
      </c>
      <c r="W38" s="9">
        <v>27</v>
      </c>
      <c r="X38" s="9">
        <v>27</v>
      </c>
      <c r="Y38" s="9">
        <v>27</v>
      </c>
      <c r="Z38" s="21">
        <v>30</v>
      </c>
      <c r="AA38" s="21">
        <v>30</v>
      </c>
      <c r="AB38" s="21">
        <v>30</v>
      </c>
      <c r="AC38" s="38">
        <v>30</v>
      </c>
      <c r="AD38" s="33">
        <v>41</v>
      </c>
      <c r="AE38" s="33">
        <v>41</v>
      </c>
      <c r="AF38" s="33">
        <v>41</v>
      </c>
      <c r="AG38" s="33">
        <v>41</v>
      </c>
    </row>
    <row r="39" spans="1:33" ht="15.75" thickBot="1" x14ac:dyDescent="0.3">
      <c r="A39" s="8" t="s">
        <v>60</v>
      </c>
      <c r="B39" s="8">
        <v>51</v>
      </c>
      <c r="C39" s="8">
        <v>51</v>
      </c>
      <c r="D39" s="8">
        <v>51</v>
      </c>
      <c r="E39" s="8">
        <v>51</v>
      </c>
      <c r="F39" s="8">
        <v>44</v>
      </c>
      <c r="G39" s="8">
        <v>44</v>
      </c>
      <c r="H39" s="8">
        <v>44</v>
      </c>
      <c r="I39" s="8">
        <v>44</v>
      </c>
      <c r="J39" s="8">
        <v>42</v>
      </c>
      <c r="K39" s="8">
        <v>42</v>
      </c>
      <c r="L39" s="8">
        <v>42</v>
      </c>
      <c r="M39" s="8">
        <v>42</v>
      </c>
      <c r="N39" s="25">
        <v>43</v>
      </c>
      <c r="O39" s="25">
        <v>43</v>
      </c>
      <c r="P39" s="25">
        <v>43</v>
      </c>
      <c r="Q39" s="25">
        <v>43</v>
      </c>
      <c r="R39" s="33">
        <v>35</v>
      </c>
      <c r="S39" s="33">
        <v>35</v>
      </c>
      <c r="T39" s="33">
        <v>35</v>
      </c>
      <c r="U39" s="33">
        <v>35</v>
      </c>
      <c r="V39" s="9">
        <v>41</v>
      </c>
      <c r="W39" s="9">
        <v>41</v>
      </c>
      <c r="X39" s="9">
        <v>41</v>
      </c>
      <c r="Y39" s="9">
        <v>41</v>
      </c>
      <c r="Z39" s="21">
        <v>45</v>
      </c>
      <c r="AA39" s="21">
        <v>45</v>
      </c>
      <c r="AB39" s="21">
        <v>45</v>
      </c>
      <c r="AC39" s="38">
        <v>45</v>
      </c>
      <c r="AD39" s="33">
        <v>42</v>
      </c>
      <c r="AE39" s="33">
        <v>42</v>
      </c>
      <c r="AF39" s="33">
        <v>42</v>
      </c>
      <c r="AG39" s="33">
        <v>42</v>
      </c>
    </row>
    <row r="40" spans="1:33" ht="15.75" thickBot="1" x14ac:dyDescent="0.3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  <c r="O40" s="14"/>
      <c r="P40" s="14"/>
      <c r="Q40" s="14"/>
      <c r="R40" s="11"/>
      <c r="V40" s="9">
        <v>170000000</v>
      </c>
    </row>
    <row r="41" spans="1:33" ht="15.75" thickBot="1" x14ac:dyDescent="0.3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1"/>
      <c r="V41" s="50">
        <f>(V24*1000)/V40</f>
        <v>39.427452941176469</v>
      </c>
    </row>
    <row r="42" spans="1:33" ht="15.75" thickBot="1" x14ac:dyDescent="0.3">
      <c r="A42" s="13" t="s">
        <v>79</v>
      </c>
      <c r="B42" s="51">
        <f>B24-B26+B25+B27</f>
        <v>4432121</v>
      </c>
      <c r="C42" s="51">
        <f t="shared" ref="C42:AG42" si="1">C24-C26+C25+C27</f>
        <v>5656284</v>
      </c>
      <c r="D42" s="51">
        <f t="shared" si="1"/>
        <v>6197268</v>
      </c>
      <c r="E42" s="51">
        <f t="shared" si="1"/>
        <v>4092535</v>
      </c>
      <c r="F42" s="51">
        <f t="shared" si="1"/>
        <v>5238469</v>
      </c>
      <c r="G42" s="51">
        <f t="shared" si="1"/>
        <v>4701689</v>
      </c>
      <c r="H42" s="51">
        <f t="shared" si="1"/>
        <v>4508393</v>
      </c>
      <c r="I42" s="51">
        <f t="shared" si="1"/>
        <v>4282143</v>
      </c>
      <c r="J42" s="51">
        <f t="shared" si="1"/>
        <v>8278221</v>
      </c>
      <c r="K42" s="51">
        <f t="shared" si="1"/>
        <v>8823544</v>
      </c>
      <c r="L42" s="51">
        <f t="shared" si="1"/>
        <v>9309225</v>
      </c>
      <c r="M42" s="51">
        <f t="shared" si="1"/>
        <v>9415265</v>
      </c>
      <c r="N42" s="51">
        <f t="shared" si="1"/>
        <v>9178924</v>
      </c>
      <c r="O42" s="51">
        <f t="shared" si="1"/>
        <v>9583561</v>
      </c>
      <c r="P42" s="51">
        <f t="shared" si="1"/>
        <v>9520277</v>
      </c>
      <c r="Q42" s="51">
        <f t="shared" si="1"/>
        <v>9501838</v>
      </c>
      <c r="R42" s="51">
        <f t="shared" si="1"/>
        <v>10065165</v>
      </c>
      <c r="S42" s="51">
        <f t="shared" si="1"/>
        <v>7378737</v>
      </c>
      <c r="T42" s="51">
        <f t="shared" si="1"/>
        <v>9489846</v>
      </c>
      <c r="U42" s="51">
        <f t="shared" si="1"/>
        <v>9905383</v>
      </c>
      <c r="V42" s="51">
        <f t="shared" si="1"/>
        <v>7666816</v>
      </c>
      <c r="W42" s="51">
        <f t="shared" si="1"/>
        <v>8004137</v>
      </c>
      <c r="X42" s="51">
        <f t="shared" si="1"/>
        <v>8667936</v>
      </c>
      <c r="Y42" s="51">
        <f t="shared" si="1"/>
        <v>8831735</v>
      </c>
      <c r="Z42" s="51">
        <f t="shared" si="1"/>
        <v>7541703</v>
      </c>
      <c r="AA42" s="51">
        <f t="shared" si="1"/>
        <v>8355717</v>
      </c>
      <c r="AB42" s="51">
        <f t="shared" si="1"/>
        <v>8962007</v>
      </c>
      <c r="AC42" s="51">
        <f t="shared" si="1"/>
        <v>8717635</v>
      </c>
      <c r="AD42" s="51">
        <f t="shared" si="1"/>
        <v>8760489</v>
      </c>
      <c r="AE42" s="51">
        <f t="shared" si="1"/>
        <v>8759031</v>
      </c>
      <c r="AF42" s="51">
        <f t="shared" si="1"/>
        <v>8616833</v>
      </c>
      <c r="AG42" s="51">
        <f t="shared" si="1"/>
        <v>8820201</v>
      </c>
    </row>
    <row r="43" spans="1:33" ht="15.75" thickBot="1" x14ac:dyDescent="0.3">
      <c r="A43" s="13" t="s">
        <v>80</v>
      </c>
      <c r="B43" s="52">
        <f>B42/B25</f>
        <v>7.3047868781129379</v>
      </c>
      <c r="C43" s="52">
        <f t="shared" ref="C43:V43" si="2">C42/C25</f>
        <v>13.568557837391783</v>
      </c>
      <c r="D43" s="52">
        <f t="shared" si="2"/>
        <v>9.7375485127979502</v>
      </c>
      <c r="E43" s="52">
        <f t="shared" si="2"/>
        <v>5.6295247304935367</v>
      </c>
      <c r="F43" s="52">
        <f t="shared" si="2"/>
        <v>9.2867812607476274</v>
      </c>
      <c r="G43" s="52">
        <f t="shared" si="2"/>
        <v>7.5071116305656416</v>
      </c>
      <c r="H43" s="52">
        <f t="shared" si="2"/>
        <v>5.874319033193264</v>
      </c>
      <c r="I43" s="52">
        <f t="shared" si="2"/>
        <v>5.8714346828132582</v>
      </c>
      <c r="J43" s="52">
        <f t="shared" si="2"/>
        <v>9.9594690029126873</v>
      </c>
      <c r="K43" s="52">
        <f t="shared" si="2"/>
        <v>8.4338173024536189</v>
      </c>
      <c r="L43" s="52">
        <f t="shared" si="2"/>
        <v>12.07437839660696</v>
      </c>
      <c r="M43" s="52">
        <f t="shared" si="2"/>
        <v>9.6975709890626014</v>
      </c>
      <c r="N43" s="52">
        <f t="shared" si="2"/>
        <v>8.9859595055772346</v>
      </c>
      <c r="O43" s="52">
        <f t="shared" si="2"/>
        <v>9.5524772390640855</v>
      </c>
      <c r="P43" s="52">
        <f t="shared" si="2"/>
        <v>9.4799209764034504</v>
      </c>
      <c r="Q43" s="52">
        <f t="shared" si="2"/>
        <v>9.4540571949367891</v>
      </c>
      <c r="R43" s="52">
        <f t="shared" si="2"/>
        <v>9.0486813774627244</v>
      </c>
      <c r="S43" s="52">
        <f t="shared" si="2"/>
        <v>6.9500247248477658</v>
      </c>
      <c r="T43" s="52">
        <f t="shared" si="2"/>
        <v>9.9915517900329238</v>
      </c>
      <c r="U43" s="52">
        <f t="shared" si="2"/>
        <v>12.569804449069197</v>
      </c>
      <c r="V43" s="52">
        <f t="shared" si="2"/>
        <v>10.160765806419978</v>
      </c>
      <c r="W43" s="52">
        <f t="shared" ref="W43" si="3">W42/W25</f>
        <v>10.95970692459785</v>
      </c>
      <c r="X43" s="52">
        <f t="shared" ref="X43" si="4">X42/X25</f>
        <v>10.681177797083233</v>
      </c>
      <c r="Y43" s="52">
        <f t="shared" ref="Y43" si="5">Y42/Y25</f>
        <v>10.73140902573574</v>
      </c>
      <c r="Z43" s="52">
        <f t="shared" ref="Z43" si="6">Z42/Z25</f>
        <v>10.600527657756176</v>
      </c>
      <c r="AA43" s="52">
        <f t="shared" ref="AA43" si="7">AA42/AA25</f>
        <v>9.7577722657810106</v>
      </c>
      <c r="AB43" s="52">
        <f t="shared" ref="AB43" si="8">AB42/AB25</f>
        <v>11.640693557227953</v>
      </c>
      <c r="AC43" s="52">
        <f t="shared" ref="AC43" si="9">AC42/AC25</f>
        <v>8.8611682025448211</v>
      </c>
      <c r="AD43" s="52">
        <f t="shared" ref="AD43" si="10">AD42/AD25</f>
        <v>11.121605941348228</v>
      </c>
      <c r="AE43" s="52">
        <f t="shared" ref="AE43" si="11">AE42/AE25</f>
        <v>8.8373297415097767</v>
      </c>
      <c r="AF43" s="52">
        <f t="shared" ref="AF43" si="12">AF42/AF25</f>
        <v>9.871681689663232</v>
      </c>
      <c r="AG43" s="52">
        <f t="shared" ref="AG43" si="13">AG42/AG25</f>
        <v>7.3458518120604142</v>
      </c>
    </row>
    <row r="44" spans="1:33" ht="15.75" thickBot="1" x14ac:dyDescent="0.3">
      <c r="A44" s="13" t="s">
        <v>81</v>
      </c>
      <c r="B44" s="52">
        <f>B42/B10</f>
        <v>6.3847150521987348E-2</v>
      </c>
      <c r="C44" s="52">
        <f t="shared" ref="C44:V44" si="14">C42/C10</f>
        <v>5.4813332712482697E-2</v>
      </c>
      <c r="D44" s="52">
        <f t="shared" si="14"/>
        <v>6.0136577973982766E-2</v>
      </c>
      <c r="E44" s="52">
        <f t="shared" si="14"/>
        <v>4.1022929190519031E-2</v>
      </c>
      <c r="F44" s="52">
        <f t="shared" si="14"/>
        <v>5.1474198927117465E-2</v>
      </c>
      <c r="G44" s="52">
        <f t="shared" si="14"/>
        <v>4.4868875160424954E-2</v>
      </c>
      <c r="H44" s="52">
        <f t="shared" si="14"/>
        <v>4.2035762583799978E-2</v>
      </c>
      <c r="I44" s="52">
        <f t="shared" si="14"/>
        <v>3.9187863859794059E-2</v>
      </c>
      <c r="J44" s="52">
        <f t="shared" si="14"/>
        <v>7.4500480325378593E-2</v>
      </c>
      <c r="K44" s="52">
        <f t="shared" si="14"/>
        <v>7.8669447581587434E-2</v>
      </c>
      <c r="L44" s="52">
        <f t="shared" si="14"/>
        <v>8.3489157608841139E-2</v>
      </c>
      <c r="M44" s="52">
        <f t="shared" si="14"/>
        <v>8.5045314011340953E-2</v>
      </c>
      <c r="N44" s="52">
        <f t="shared" si="14"/>
        <v>7.8791651054562747E-2</v>
      </c>
      <c r="O44" s="52">
        <f t="shared" si="14"/>
        <v>8.4040050987568449E-2</v>
      </c>
      <c r="P44" s="52">
        <f t="shared" si="14"/>
        <v>8.5354179684219877E-2</v>
      </c>
      <c r="Q44" s="52">
        <f t="shared" si="14"/>
        <v>8.0589427996477891E-2</v>
      </c>
      <c r="R44" s="52">
        <f t="shared" si="14"/>
        <v>8.67861721551791E-2</v>
      </c>
      <c r="S44" s="52">
        <f t="shared" si="14"/>
        <v>6.3060272223438393E-2</v>
      </c>
      <c r="T44" s="52">
        <f t="shared" si="14"/>
        <v>7.9333377478741168E-2</v>
      </c>
      <c r="U44" s="52">
        <f t="shared" si="14"/>
        <v>0.11338606048697802</v>
      </c>
      <c r="V44" s="52">
        <f t="shared" si="14"/>
        <v>9.1031289939942597E-2</v>
      </c>
      <c r="W44" s="52">
        <f t="shared" ref="W44:AG44" si="15">W42/W10</f>
        <v>9.5980462434442804E-2</v>
      </c>
      <c r="X44" s="52">
        <f t="shared" si="15"/>
        <v>0.10279693697969933</v>
      </c>
      <c r="Y44" s="52">
        <f t="shared" si="15"/>
        <v>9.7191517747541881E-2</v>
      </c>
      <c r="Z44" s="52">
        <f t="shared" si="15"/>
        <v>8.5241601981317999E-2</v>
      </c>
      <c r="AA44" s="52">
        <f t="shared" si="15"/>
        <v>9.2947207146062458E-2</v>
      </c>
      <c r="AB44" s="52">
        <f t="shared" si="15"/>
        <v>9.6987608571087611E-2</v>
      </c>
      <c r="AC44" s="52">
        <f t="shared" si="15"/>
        <v>9.0187616200430726E-2</v>
      </c>
      <c r="AD44" s="52">
        <f t="shared" si="15"/>
        <v>9.175086957374172E-2</v>
      </c>
      <c r="AE44" s="52">
        <f t="shared" si="15"/>
        <v>9.1086770412526039E-2</v>
      </c>
      <c r="AF44" s="52">
        <f t="shared" si="15"/>
        <v>8.9516979374086231E-2</v>
      </c>
      <c r="AG44" s="52">
        <f t="shared" si="15"/>
        <v>9.0263720942127507E-2</v>
      </c>
    </row>
    <row r="45" spans="1:33" ht="15.75" thickBot="1" x14ac:dyDescent="0.3">
      <c r="A45" s="13" t="s">
        <v>82</v>
      </c>
      <c r="B45" s="52">
        <f>(B42-B25)/B42</f>
        <v>0.86310346671492044</v>
      </c>
      <c r="C45" s="52">
        <f t="shared" ref="C45:V45" si="16">(C42-C25)/C42</f>
        <v>0.92630019991924029</v>
      </c>
      <c r="D45" s="52">
        <f t="shared" si="16"/>
        <v>0.89730474783404557</v>
      </c>
      <c r="E45" s="52">
        <f t="shared" si="16"/>
        <v>0.82236511111083965</v>
      </c>
      <c r="F45" s="52">
        <f t="shared" si="16"/>
        <v>0.89232006527097896</v>
      </c>
      <c r="G45" s="52">
        <f t="shared" si="16"/>
        <v>0.86679297588589976</v>
      </c>
      <c r="H45" s="52">
        <f t="shared" si="16"/>
        <v>0.82976750252251741</v>
      </c>
      <c r="I45" s="52">
        <f t="shared" si="16"/>
        <v>0.82968387557351542</v>
      </c>
      <c r="J45" s="52">
        <f t="shared" si="16"/>
        <v>0.89959304058202838</v>
      </c>
      <c r="K45" s="52">
        <f t="shared" si="16"/>
        <v>0.88142972936951414</v>
      </c>
      <c r="L45" s="52">
        <f t="shared" si="16"/>
        <v>0.91718000155759472</v>
      </c>
      <c r="M45" s="52">
        <f t="shared" si="16"/>
        <v>0.89688139420398683</v>
      </c>
      <c r="N45" s="52">
        <f t="shared" si="16"/>
        <v>0.88871527860999833</v>
      </c>
      <c r="O45" s="52">
        <f t="shared" si="16"/>
        <v>0.8953151130357494</v>
      </c>
      <c r="P45" s="52">
        <f t="shared" si="16"/>
        <v>0.89451388861899717</v>
      </c>
      <c r="Q45" s="52">
        <f t="shared" si="16"/>
        <v>0.89422530672486733</v>
      </c>
      <c r="R45" s="52">
        <f t="shared" si="16"/>
        <v>0.88948666017894396</v>
      </c>
      <c r="S45" s="52">
        <f t="shared" si="16"/>
        <v>0.85611561978696349</v>
      </c>
      <c r="T45" s="52">
        <f t="shared" si="16"/>
        <v>0.89991544646772981</v>
      </c>
      <c r="U45" s="52">
        <f t="shared" si="16"/>
        <v>0.92044426752605124</v>
      </c>
      <c r="V45" s="52">
        <f t="shared" si="16"/>
        <v>0.90158222135499277</v>
      </c>
      <c r="W45" s="52">
        <f t="shared" ref="W45:AG45" si="17">(W42-W25)/W42</f>
        <v>0.90875668419968325</v>
      </c>
      <c r="X45" s="52">
        <f t="shared" si="17"/>
        <v>0.90637736596117002</v>
      </c>
      <c r="Y45" s="52">
        <f t="shared" si="17"/>
        <v>0.90681559172688042</v>
      </c>
      <c r="Z45" s="52">
        <f t="shared" si="17"/>
        <v>0.90566507325997858</v>
      </c>
      <c r="AA45" s="52">
        <f t="shared" si="17"/>
        <v>0.89751759184759372</v>
      </c>
      <c r="AB45" s="52">
        <f t="shared" si="17"/>
        <v>0.9140944656704687</v>
      </c>
      <c r="AC45" s="52">
        <f t="shared" si="17"/>
        <v>0.88714806251924982</v>
      </c>
      <c r="AD45" s="52">
        <f t="shared" si="17"/>
        <v>0.91008492790756312</v>
      </c>
      <c r="AE45" s="52">
        <f t="shared" si="17"/>
        <v>0.88684364743086308</v>
      </c>
      <c r="AF45" s="52">
        <f t="shared" si="17"/>
        <v>0.89870013727781428</v>
      </c>
      <c r="AG45" s="52">
        <f t="shared" si="17"/>
        <v>0.86386874856933538</v>
      </c>
    </row>
    <row r="46" spans="1:33" ht="15.75" thickBot="1" x14ac:dyDescent="0.3">
      <c r="A46" s="13" t="s">
        <v>83</v>
      </c>
      <c r="B46" s="52">
        <f>SUM(B43:B45)</f>
        <v>8.2317374953498454</v>
      </c>
      <c r="C46" s="52">
        <f t="shared" ref="C46:V46" si="18">SUM(C43:C45)</f>
        <v>14.549671370023505</v>
      </c>
      <c r="D46" s="52">
        <f t="shared" si="18"/>
        <v>10.694989838605979</v>
      </c>
      <c r="E46" s="52">
        <f t="shared" si="18"/>
        <v>6.492912770794895</v>
      </c>
      <c r="F46" s="52">
        <f t="shared" si="18"/>
        <v>10.230575524945724</v>
      </c>
      <c r="G46" s="52">
        <f t="shared" si="18"/>
        <v>8.4187734816119661</v>
      </c>
      <c r="H46" s="52">
        <f t="shared" si="18"/>
        <v>6.7461222982995812</v>
      </c>
      <c r="I46" s="52">
        <f t="shared" si="18"/>
        <v>6.7403064222465678</v>
      </c>
      <c r="J46" s="52">
        <f t="shared" si="18"/>
        <v>10.933562523820093</v>
      </c>
      <c r="K46" s="52">
        <f t="shared" si="18"/>
        <v>9.3939164794047212</v>
      </c>
      <c r="L46" s="52">
        <f t="shared" si="18"/>
        <v>13.075047555773397</v>
      </c>
      <c r="M46" s="52">
        <f t="shared" si="18"/>
        <v>10.679497697277929</v>
      </c>
      <c r="N46" s="52">
        <f t="shared" si="18"/>
        <v>9.9534664352417952</v>
      </c>
      <c r="O46" s="52">
        <f t="shared" si="18"/>
        <v>10.531832403087403</v>
      </c>
      <c r="P46" s="52">
        <f t="shared" si="18"/>
        <v>10.459789044706667</v>
      </c>
      <c r="Q46" s="52">
        <f t="shared" si="18"/>
        <v>10.428871929658133</v>
      </c>
      <c r="R46" s="52">
        <f t="shared" si="18"/>
        <v>10.024954209796848</v>
      </c>
      <c r="S46" s="52">
        <f t="shared" si="18"/>
        <v>7.8692006168581674</v>
      </c>
      <c r="T46" s="52">
        <f t="shared" si="18"/>
        <v>10.970800613979396</v>
      </c>
      <c r="U46" s="52">
        <f t="shared" si="18"/>
        <v>13.603634777082226</v>
      </c>
      <c r="V46" s="52">
        <f t="shared" si="18"/>
        <v>11.153379317714913</v>
      </c>
      <c r="W46" s="52">
        <f t="shared" ref="W46" si="19">SUM(W43:W45)</f>
        <v>11.964444071231977</v>
      </c>
      <c r="X46" s="52">
        <f t="shared" ref="X46" si="20">SUM(X43:X45)</f>
        <v>11.690352100024102</v>
      </c>
      <c r="Y46" s="52">
        <f t="shared" ref="Y46" si="21">SUM(Y43:Y45)</f>
        <v>11.735416135210162</v>
      </c>
      <c r="Z46" s="52">
        <f t="shared" ref="Z46" si="22">SUM(Z43:Z45)</f>
        <v>11.591434332997473</v>
      </c>
      <c r="AA46" s="52">
        <f t="shared" ref="AA46" si="23">SUM(AA43:AA45)</f>
        <v>10.748237064774667</v>
      </c>
      <c r="AB46" s="52">
        <f t="shared" ref="AB46" si="24">SUM(AB43:AB45)</f>
        <v>12.651775631469508</v>
      </c>
      <c r="AC46" s="52">
        <f t="shared" ref="AC46" si="25">SUM(AC43:AC45)</f>
        <v>9.8385038812645025</v>
      </c>
      <c r="AD46" s="52">
        <f t="shared" ref="AD46" si="26">SUM(AD43:AD45)</f>
        <v>12.123441738829534</v>
      </c>
      <c r="AE46" s="52">
        <f t="shared" ref="AE46" si="27">SUM(AE43:AE45)</f>
        <v>9.8152601593531656</v>
      </c>
      <c r="AF46" s="52">
        <f t="shared" ref="AF46" si="28">SUM(AF43:AF45)</f>
        <v>10.859898806315131</v>
      </c>
      <c r="AG46" s="52">
        <f t="shared" ref="AG46" si="29">SUM(AG43:AG45)</f>
        <v>8.2999842815718772</v>
      </c>
    </row>
    <row r="47" spans="1:33" ht="15.75" thickBot="1" x14ac:dyDescent="0.3">
      <c r="A47" s="13" t="s">
        <v>85</v>
      </c>
      <c r="B47" s="52">
        <f>B32/B14</f>
        <v>8.2861224942859829E-2</v>
      </c>
      <c r="C47" s="52">
        <f t="shared" ref="C47:G47" si="30">C32/C14</f>
        <v>0.10040092839198815</v>
      </c>
      <c r="D47" s="52">
        <f t="shared" si="30"/>
        <v>7.7454058715077739E-2</v>
      </c>
      <c r="E47" s="52">
        <f t="shared" si="30"/>
        <v>3.0723382642925186E-2</v>
      </c>
      <c r="F47" s="52">
        <f t="shared" si="30"/>
        <v>6.6534758718697962E-2</v>
      </c>
      <c r="G47" s="52">
        <f t="shared" si="30"/>
        <v>7.5677776277548736E-2</v>
      </c>
      <c r="H47" s="52">
        <f t="shared" ref="H47:AG47" si="31">H32/H14</f>
        <v>5.9139444973398861E-2</v>
      </c>
      <c r="I47" s="52">
        <f t="shared" si="31"/>
        <v>7.0036360344536003E-2</v>
      </c>
      <c r="J47" s="52">
        <f t="shared" si="31"/>
        <v>4.1691366649127683E-2</v>
      </c>
      <c r="K47" s="52">
        <f t="shared" si="31"/>
        <v>4.8808738478205535E-2</v>
      </c>
      <c r="L47" s="52">
        <f t="shared" si="31"/>
        <v>7.4236652903591133E-2</v>
      </c>
      <c r="M47" s="52">
        <f t="shared" si="31"/>
        <v>5.0880853541459249E-2</v>
      </c>
      <c r="N47" s="52">
        <f t="shared" si="31"/>
        <v>3.4782508717881369E-2</v>
      </c>
      <c r="O47" s="52">
        <f t="shared" si="31"/>
        <v>4.8719086939942022E-2</v>
      </c>
      <c r="P47" s="52">
        <f t="shared" si="31"/>
        <v>3.4167512539169664E-2</v>
      </c>
      <c r="Q47" s="52">
        <f t="shared" si="31"/>
        <v>3.8681422601905838E-2</v>
      </c>
      <c r="R47" s="52">
        <f t="shared" si="31"/>
        <v>5.1396747652305848E-2</v>
      </c>
      <c r="S47" s="52">
        <f t="shared" si="31"/>
        <v>4.7996838343947079E-2</v>
      </c>
      <c r="T47" s="52">
        <f t="shared" si="31"/>
        <v>3.7773681783969448E-2</v>
      </c>
      <c r="U47" s="52">
        <f t="shared" si="31"/>
        <v>8.3202223624922848E-3</v>
      </c>
      <c r="V47" s="52">
        <f t="shared" si="31"/>
        <v>2.9985013906123965E-2</v>
      </c>
      <c r="W47" s="52">
        <f t="shared" si="31"/>
        <v>2.7616804233022655E-2</v>
      </c>
      <c r="X47" s="52">
        <f t="shared" si="31"/>
        <v>6.2643896476505756E-2</v>
      </c>
      <c r="Y47" s="52">
        <f t="shared" si="31"/>
        <v>5.9956230087658983E-2</v>
      </c>
      <c r="Z47" s="52">
        <f t="shared" si="31"/>
        <v>4.1954035816053982E-2</v>
      </c>
      <c r="AA47" s="52">
        <f t="shared" si="31"/>
        <v>0.51654603138102062</v>
      </c>
      <c r="AB47" s="52">
        <f t="shared" si="31"/>
        <v>1.9896567819538933</v>
      </c>
      <c r="AC47" s="52">
        <f t="shared" si="31"/>
        <v>4.0342436447058254E-2</v>
      </c>
      <c r="AD47" s="52">
        <f t="shared" si="31"/>
        <v>4.1526577867709732E-2</v>
      </c>
      <c r="AE47" s="52">
        <f t="shared" si="31"/>
        <v>4.2180299035572445E-2</v>
      </c>
      <c r="AF47" s="52">
        <f t="shared" si="31"/>
        <v>3.8474628863587365E-2</v>
      </c>
      <c r="AG47" s="52">
        <f t="shared" si="31"/>
        <v>3.2172071514399755E-2</v>
      </c>
    </row>
    <row r="48" spans="1:33" ht="15.75" thickBot="1" x14ac:dyDescent="0.3">
      <c r="A48" s="13" t="s">
        <v>86</v>
      </c>
      <c r="B48" s="52">
        <f>B32/B10</f>
        <v>4.3638292775533452E-2</v>
      </c>
      <c r="C48" s="52">
        <f t="shared" ref="C48:G48" si="32">C32/C10</f>
        <v>3.721113183897299E-2</v>
      </c>
      <c r="D48" s="52">
        <f t="shared" si="32"/>
        <v>2.9230809090681494E-2</v>
      </c>
      <c r="E48" s="52">
        <f t="shared" si="32"/>
        <v>1.1591231482766482E-2</v>
      </c>
      <c r="F48" s="52">
        <f t="shared" si="32"/>
        <v>2.4445097776991245E-2</v>
      </c>
      <c r="G48" s="52">
        <f t="shared" si="32"/>
        <v>2.8536058696264344E-2</v>
      </c>
      <c r="H48" s="52">
        <f t="shared" ref="H48:AG48" si="33">H32/H10</f>
        <v>2.2401719131468038E-2</v>
      </c>
      <c r="I48" s="52">
        <f t="shared" si="33"/>
        <v>2.6918838951970316E-2</v>
      </c>
      <c r="J48" s="52">
        <f t="shared" si="33"/>
        <v>1.5947473937767426E-2</v>
      </c>
      <c r="K48" s="52">
        <f t="shared" si="33"/>
        <v>1.8384414798430775E-2</v>
      </c>
      <c r="L48" s="52">
        <f t="shared" si="33"/>
        <v>2.9746488506599281E-2</v>
      </c>
      <c r="M48" s="52">
        <f t="shared" si="33"/>
        <v>2.0680893635162022E-2</v>
      </c>
      <c r="N48" s="52">
        <f t="shared" si="33"/>
        <v>1.3503656558607302E-2</v>
      </c>
      <c r="O48" s="52">
        <f t="shared" si="33"/>
        <v>1.9786498326312719E-2</v>
      </c>
      <c r="P48" s="52">
        <f t="shared" si="33"/>
        <v>1.4008409903457728E-2</v>
      </c>
      <c r="Q48" s="52">
        <f t="shared" si="33"/>
        <v>1.9322081572717201E-2</v>
      </c>
      <c r="R48" s="52">
        <f t="shared" si="33"/>
        <v>2.1738480378601897E-2</v>
      </c>
      <c r="S48" s="52">
        <f t="shared" si="33"/>
        <v>2.0575627741919521E-2</v>
      </c>
      <c r="T48" s="52">
        <f t="shared" si="33"/>
        <v>1.6333368976807115E-2</v>
      </c>
      <c r="U48" s="52">
        <f t="shared" si="33"/>
        <v>5.3553582629171691E-3</v>
      </c>
      <c r="V48" s="52">
        <f t="shared" si="33"/>
        <v>1.8403354306296547E-2</v>
      </c>
      <c r="W48" s="52">
        <f t="shared" si="33"/>
        <v>1.713501328804214E-2</v>
      </c>
      <c r="X48" s="52">
        <f t="shared" si="33"/>
        <v>4.0151169538447835E-2</v>
      </c>
      <c r="Y48" s="52">
        <f t="shared" si="33"/>
        <v>3.9867050515717609E-2</v>
      </c>
      <c r="Z48" s="52">
        <f t="shared" si="33"/>
        <v>2.7024030895250652E-2</v>
      </c>
      <c r="AA48" s="52">
        <f t="shared" si="33"/>
        <v>3.1183843021311029E-2</v>
      </c>
      <c r="AB48" s="52">
        <f t="shared" si="33"/>
        <v>3.6489324461488414E-2</v>
      </c>
      <c r="AC48" s="52">
        <f t="shared" si="33"/>
        <v>2.5267504431384084E-2</v>
      </c>
      <c r="AD48" s="52">
        <f t="shared" si="33"/>
        <v>2.6220610150280373E-2</v>
      </c>
      <c r="AE48" s="52">
        <f t="shared" si="33"/>
        <v>2.6604543053846682E-2</v>
      </c>
      <c r="AF48" s="52">
        <f t="shared" si="33"/>
        <v>2.41239585593074E-2</v>
      </c>
      <c r="AG48" s="52">
        <f t="shared" si="33"/>
        <v>1.9960834829515928E-2</v>
      </c>
    </row>
    <row r="49" spans="1:33" ht="15.75" thickBot="1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  <c r="O49" s="14"/>
      <c r="P49" s="14"/>
      <c r="Q49" s="14"/>
    </row>
    <row r="50" spans="1:33" ht="15.75" thickBot="1" x14ac:dyDescent="0.3">
      <c r="A50" s="13" t="s">
        <v>131</v>
      </c>
      <c r="B50" s="84">
        <f t="shared" ref="B50:H50" si="34">B42+B9</f>
        <v>6597121</v>
      </c>
      <c r="C50" s="84">
        <f t="shared" si="34"/>
        <v>7337284</v>
      </c>
      <c r="D50" s="84">
        <f t="shared" si="34"/>
        <v>8546268</v>
      </c>
      <c r="E50" s="84">
        <f t="shared" si="34"/>
        <v>6868535</v>
      </c>
      <c r="F50" s="84">
        <f t="shared" si="34"/>
        <v>7917469</v>
      </c>
      <c r="G50" s="84">
        <f t="shared" si="34"/>
        <v>9041689</v>
      </c>
      <c r="H50" s="84">
        <f t="shared" si="34"/>
        <v>8327393</v>
      </c>
      <c r="I50" s="84">
        <f t="shared" ref="I50:AG50" si="35">I42+I9</f>
        <v>7586143</v>
      </c>
      <c r="J50" s="84">
        <f t="shared" si="35"/>
        <v>11344221</v>
      </c>
      <c r="K50" s="84">
        <f t="shared" si="35"/>
        <v>11052544</v>
      </c>
      <c r="L50" s="84">
        <f t="shared" si="35"/>
        <v>13487225</v>
      </c>
      <c r="M50" s="84">
        <f t="shared" si="35"/>
        <v>12913265</v>
      </c>
      <c r="N50" s="84">
        <f t="shared" si="35"/>
        <v>10553924</v>
      </c>
      <c r="O50" s="84">
        <f t="shared" si="35"/>
        <v>13314561</v>
      </c>
      <c r="P50" s="84">
        <f t="shared" si="35"/>
        <v>12318277</v>
      </c>
      <c r="Q50" s="84">
        <f t="shared" si="35"/>
        <v>12061838</v>
      </c>
      <c r="R50" s="84">
        <f t="shared" si="35"/>
        <v>13308165</v>
      </c>
      <c r="S50" s="84">
        <f t="shared" si="35"/>
        <v>10320737</v>
      </c>
      <c r="T50" s="84">
        <f t="shared" si="35"/>
        <v>13907846</v>
      </c>
      <c r="U50" s="84">
        <f t="shared" si="35"/>
        <v>13307383</v>
      </c>
      <c r="V50" s="84">
        <f t="shared" si="35"/>
        <v>10361816</v>
      </c>
      <c r="W50" s="84">
        <f t="shared" si="35"/>
        <v>11007137</v>
      </c>
      <c r="X50" s="84">
        <f t="shared" si="35"/>
        <v>12506936</v>
      </c>
      <c r="Y50" s="84">
        <f t="shared" si="35"/>
        <v>11309735</v>
      </c>
      <c r="Z50" s="84">
        <f t="shared" si="35"/>
        <v>10318703</v>
      </c>
      <c r="AA50" s="84">
        <f t="shared" si="35"/>
        <v>10506717</v>
      </c>
      <c r="AB50" s="84">
        <f t="shared" si="35"/>
        <v>11251007</v>
      </c>
      <c r="AC50" s="84">
        <f t="shared" si="35"/>
        <v>11597635</v>
      </c>
      <c r="AD50" s="84">
        <f t="shared" si="35"/>
        <v>12267489</v>
      </c>
      <c r="AE50" s="84">
        <f t="shared" si="35"/>
        <v>12980031</v>
      </c>
      <c r="AF50" s="84">
        <f t="shared" si="35"/>
        <v>12558833</v>
      </c>
      <c r="AG50" s="84">
        <f t="shared" si="35"/>
        <v>12215201</v>
      </c>
    </row>
    <row r="51" spans="1:33" ht="15.75" thickBot="1" x14ac:dyDescent="0.3">
      <c r="A51" s="13" t="s">
        <v>132</v>
      </c>
      <c r="B51" s="81">
        <f t="shared" ref="B51:H51" si="36">SUM(B11:B13)/B10</f>
        <v>0.50140639245515539</v>
      </c>
      <c r="C51" s="81">
        <f t="shared" si="36"/>
        <v>0.60640579278838702</v>
      </c>
      <c r="D51" s="81">
        <f t="shared" si="36"/>
        <v>0.59742062402319884</v>
      </c>
      <c r="E51" s="81">
        <f t="shared" si="36"/>
        <v>0.60081195134807408</v>
      </c>
      <c r="F51" s="81">
        <f t="shared" si="36"/>
        <v>0.5939863315712679</v>
      </c>
      <c r="G51" s="81">
        <f t="shared" si="36"/>
        <v>0.58498457962221306</v>
      </c>
      <c r="H51" s="81">
        <f t="shared" si="36"/>
        <v>0.58266679248946074</v>
      </c>
      <c r="I51" s="81">
        <f t="shared" ref="I51:AG51" si="37">SUM(I11:I13)/I10</f>
        <v>0.56115634820546989</v>
      </c>
      <c r="J51" s="81">
        <f t="shared" si="37"/>
        <v>0.56365262521596282</v>
      </c>
      <c r="K51" s="81">
        <f t="shared" si="37"/>
        <v>0.5787912827536229</v>
      </c>
      <c r="L51" s="81">
        <f t="shared" si="37"/>
        <v>0.71817781035232098</v>
      </c>
      <c r="M51" s="81">
        <f t="shared" si="37"/>
        <v>0.71337896487437435</v>
      </c>
      <c r="N51" s="81">
        <f t="shared" si="37"/>
        <v>0.55663945117499591</v>
      </c>
      <c r="O51" s="81">
        <f t="shared" si="37"/>
        <v>0.54749738765880562</v>
      </c>
      <c r="P51" s="81">
        <f t="shared" si="37"/>
        <v>0.54930231353841608</v>
      </c>
      <c r="Q51" s="81">
        <f t="shared" si="37"/>
        <v>0.30106747444965398</v>
      </c>
      <c r="R51" s="81">
        <f t="shared" si="37"/>
        <v>0.53173455734578456</v>
      </c>
      <c r="S51" s="81">
        <f t="shared" si="37"/>
        <v>0.53068879543792791</v>
      </c>
      <c r="T51" s="81">
        <f t="shared" si="37"/>
        <v>0.52219669812134262</v>
      </c>
      <c r="U51" s="81">
        <f t="shared" si="37"/>
        <v>0.35711052206567107</v>
      </c>
      <c r="V51" s="81">
        <f t="shared" si="37"/>
        <v>0.52612271274387667</v>
      </c>
      <c r="W51" s="81">
        <f t="shared" si="37"/>
        <v>0.3934155747746893</v>
      </c>
      <c r="X51" s="81">
        <f t="shared" si="37"/>
        <v>0.37476435869631269</v>
      </c>
      <c r="Y51" s="81">
        <f t="shared" si="37"/>
        <v>0.32509063199393162</v>
      </c>
      <c r="Z51" s="81">
        <f t="shared" si="37"/>
        <v>0.37162044766827573</v>
      </c>
      <c r="AA51" s="81">
        <f t="shared" si="37"/>
        <v>0.36266974911224126</v>
      </c>
      <c r="AB51" s="81">
        <f t="shared" si="37"/>
        <v>0.36342048860440318</v>
      </c>
      <c r="AC51" s="81">
        <f t="shared" si="37"/>
        <v>0.35897442476063463</v>
      </c>
      <c r="AD51" s="81">
        <f t="shared" si="37"/>
        <v>0.35755402232630684</v>
      </c>
      <c r="AE51" s="81">
        <f t="shared" si="37"/>
        <v>0.35688913043650072</v>
      </c>
      <c r="AF51" s="81">
        <f t="shared" si="37"/>
        <v>0.35938208795871796</v>
      </c>
      <c r="AG51" s="81">
        <f t="shared" si="37"/>
        <v>0.36501841465866613</v>
      </c>
    </row>
    <row r="52" spans="1:33" s="82" customFormat="1" ht="12.75" thickBot="1" x14ac:dyDescent="0.25">
      <c r="A52" s="13" t="s">
        <v>133</v>
      </c>
      <c r="B52" s="83">
        <f>B58*B17</f>
        <v>282456614.73250002</v>
      </c>
      <c r="C52" s="83">
        <f>C58*C17</f>
        <v>446040693.11999995</v>
      </c>
      <c r="D52" s="83">
        <f t="shared" ref="D52:N52" si="38">D58*D17</f>
        <v>292248628.75749999</v>
      </c>
      <c r="E52" s="83">
        <f t="shared" si="38"/>
        <v>32930990.947999995</v>
      </c>
      <c r="F52" s="83">
        <f t="shared" si="38"/>
        <v>123083869.52399999</v>
      </c>
      <c r="G52" s="83">
        <f t="shared" si="38"/>
        <v>230994263.25</v>
      </c>
      <c r="H52" s="83">
        <f t="shared" si="38"/>
        <v>144877684.5</v>
      </c>
      <c r="I52" s="83">
        <f t="shared" si="38"/>
        <v>190687323.95999998</v>
      </c>
      <c r="J52" s="83">
        <f t="shared" si="38"/>
        <v>74912356.875</v>
      </c>
      <c r="K52" s="83">
        <f t="shared" si="38"/>
        <v>80069172.521000013</v>
      </c>
      <c r="L52" s="83">
        <f t="shared" si="38"/>
        <v>213077801.35800001</v>
      </c>
      <c r="M52" s="83">
        <f t="shared" si="38"/>
        <v>111190046.148</v>
      </c>
      <c r="N52" s="83">
        <f t="shared" si="38"/>
        <v>47846566.460000001</v>
      </c>
      <c r="O52" s="90">
        <f>O58*O17</f>
        <v>114163094.13599999</v>
      </c>
      <c r="P52" s="90">
        <f t="shared" ref="P52:AG52" si="39">P58*P17</f>
        <v>41436890.039999999</v>
      </c>
      <c r="Q52" s="90">
        <f t="shared" si="39"/>
        <v>87781906.991999984</v>
      </c>
      <c r="R52" s="90">
        <f t="shared" si="39"/>
        <v>129607536.23999998</v>
      </c>
      <c r="S52" s="90">
        <f t="shared" si="39"/>
        <v>114118912.8</v>
      </c>
      <c r="T52" s="90">
        <f t="shared" si="39"/>
        <v>76014348.269999996</v>
      </c>
      <c r="U52" s="90">
        <f t="shared" si="39"/>
        <v>4861824.4559999993</v>
      </c>
      <c r="V52" s="90">
        <f t="shared" si="39"/>
        <v>46784083.192000002</v>
      </c>
      <c r="W52" s="90">
        <f t="shared" si="39"/>
        <v>40480639.563000001</v>
      </c>
      <c r="X52" s="90">
        <f t="shared" si="39"/>
        <v>247174789.67999998</v>
      </c>
      <c r="Y52" s="90">
        <f t="shared" si="39"/>
        <v>362278556.73750001</v>
      </c>
      <c r="Z52" s="90">
        <f t="shared" si="39"/>
        <v>189362131.19999999</v>
      </c>
      <c r="AA52" s="90">
        <f t="shared" si="39"/>
        <v>261972870.59999999</v>
      </c>
      <c r="AB52" s="90">
        <f t="shared" si="39"/>
        <v>423664942.51899999</v>
      </c>
      <c r="AC52" s="90">
        <f t="shared" si="39"/>
        <v>195886115.67799997</v>
      </c>
      <c r="AD52" s="90">
        <f t="shared" si="39"/>
        <v>196436910.36250001</v>
      </c>
      <c r="AE52" s="90">
        <f t="shared" si="39"/>
        <v>220974218.752</v>
      </c>
      <c r="AF52" s="90">
        <f t="shared" si="39"/>
        <v>165096718.5492</v>
      </c>
      <c r="AG52" s="90">
        <f t="shared" si="39"/>
        <v>131261412.63060001</v>
      </c>
    </row>
    <row r="53" spans="1:33" ht="15.75" thickBot="1" x14ac:dyDescent="0.3">
      <c r="A53" s="13" t="s">
        <v>134</v>
      </c>
      <c r="B53" s="81">
        <f t="shared" ref="B53:G53" si="40">LN(B52)</f>
        <v>19.4590355205886</v>
      </c>
      <c r="C53" s="81">
        <f t="shared" si="40"/>
        <v>19.915920746001579</v>
      </c>
      <c r="D53" s="81">
        <f t="shared" si="40"/>
        <v>19.493115466286625</v>
      </c>
      <c r="E53" s="81">
        <f t="shared" si="40"/>
        <v>17.30992474645975</v>
      </c>
      <c r="F53" s="81">
        <f t="shared" si="40"/>
        <v>18.628376547020441</v>
      </c>
      <c r="G53" s="81">
        <f t="shared" si="40"/>
        <v>19.257903433762102</v>
      </c>
      <c r="H53" s="81">
        <f t="shared" ref="H53:O53" si="41">LN(H52)</f>
        <v>18.791400389219557</v>
      </c>
      <c r="I53" s="81">
        <f t="shared" si="41"/>
        <v>19.066145597254895</v>
      </c>
      <c r="J53" s="81">
        <f t="shared" si="41"/>
        <v>18.13182941318443</v>
      </c>
      <c r="K53" s="81">
        <f t="shared" si="41"/>
        <v>18.198401475550554</v>
      </c>
      <c r="L53" s="81">
        <f t="shared" si="41"/>
        <v>19.177167921572376</v>
      </c>
      <c r="M53" s="81">
        <f t="shared" si="41"/>
        <v>18.526751422716668</v>
      </c>
      <c r="N53" s="81">
        <f t="shared" si="41"/>
        <v>17.683509916966791</v>
      </c>
      <c r="O53" s="81">
        <f t="shared" si="41"/>
        <v>18.553138634269416</v>
      </c>
      <c r="P53" s="81">
        <f t="shared" ref="P53" si="42">LN(P52)</f>
        <v>17.539682105802015</v>
      </c>
      <c r="Q53" s="81">
        <f t="shared" ref="Q53:AG53" si="43">LN(Q52)</f>
        <v>18.29036596666371</v>
      </c>
      <c r="R53" s="81">
        <f t="shared" si="43"/>
        <v>18.680021490191802</v>
      </c>
      <c r="S53" s="81">
        <f t="shared" si="43"/>
        <v>18.552751557450314</v>
      </c>
      <c r="T53" s="81">
        <f t="shared" si="43"/>
        <v>18.14643267345776</v>
      </c>
      <c r="U53" s="81">
        <f t="shared" si="43"/>
        <v>15.396924327899935</v>
      </c>
      <c r="V53" s="81">
        <f t="shared" si="43"/>
        <v>17.661053600304779</v>
      </c>
      <c r="W53" s="81">
        <f t="shared" si="43"/>
        <v>17.516334382299899</v>
      </c>
      <c r="X53" s="81">
        <f t="shared" si="43"/>
        <v>19.325606294851994</v>
      </c>
      <c r="Y53" s="81">
        <f t="shared" si="43"/>
        <v>19.707923967631519</v>
      </c>
      <c r="Z53" s="81">
        <f t="shared" si="43"/>
        <v>19.059171777859518</v>
      </c>
      <c r="AA53" s="81">
        <f t="shared" si="43"/>
        <v>19.383751509035733</v>
      </c>
      <c r="AB53" s="81">
        <f t="shared" si="43"/>
        <v>19.864453470891974</v>
      </c>
      <c r="AC53" s="81">
        <f t="shared" si="43"/>
        <v>19.093044005865021</v>
      </c>
      <c r="AD53" s="81">
        <f t="shared" si="43"/>
        <v>19.095851870863086</v>
      </c>
      <c r="AE53" s="81">
        <f t="shared" si="43"/>
        <v>19.213556595446274</v>
      </c>
      <c r="AF53" s="81">
        <f t="shared" si="43"/>
        <v>18.922042033158007</v>
      </c>
      <c r="AG53" s="81">
        <f t="shared" si="43"/>
        <v>18.69270140903178</v>
      </c>
    </row>
    <row r="54" spans="1:33" ht="15.75" thickBot="1" x14ac:dyDescent="0.3">
      <c r="A54" s="13" t="str">
        <f>A43</f>
        <v>HCE</v>
      </c>
      <c r="B54" s="52">
        <f t="shared" ref="B54:H54" si="44">B50/B25</f>
        <v>10.87302510787122</v>
      </c>
      <c r="C54" s="52">
        <f t="shared" si="44"/>
        <v>17.601019030050352</v>
      </c>
      <c r="D54" s="52">
        <f t="shared" si="44"/>
        <v>13.428449318856748</v>
      </c>
      <c r="E54" s="52">
        <f t="shared" si="44"/>
        <v>9.4480774494928994</v>
      </c>
      <c r="F54" s="52">
        <f t="shared" si="44"/>
        <v>14.036124436691379</v>
      </c>
      <c r="G54" s="52">
        <f t="shared" si="44"/>
        <v>14.436720219448249</v>
      </c>
      <c r="H54" s="52">
        <f t="shared" si="44"/>
        <v>10.850376885240562</v>
      </c>
      <c r="I54" s="52">
        <f t="shared" ref="I54:M54" si="45">I50/I25</f>
        <v>10.401694459755552</v>
      </c>
      <c r="J54" s="52">
        <f t="shared" si="45"/>
        <v>13.648151868824373</v>
      </c>
      <c r="K54" s="52">
        <f t="shared" si="45"/>
        <v>10.564364706894409</v>
      </c>
      <c r="L54" s="52">
        <f t="shared" si="45"/>
        <v>17.493385128211781</v>
      </c>
      <c r="M54" s="52">
        <f t="shared" si="45"/>
        <v>13.300454531877486</v>
      </c>
      <c r="N54" s="52">
        <f>N50/N25</f>
        <v>10.33205348349542</v>
      </c>
      <c r="O54" s="52">
        <f t="shared" ref="O54:Q54" si="46">O50/O25</f>
        <v>13.271375942682511</v>
      </c>
      <c r="P54" s="52">
        <f t="shared" si="46"/>
        <v>12.26606038095826</v>
      </c>
      <c r="Q54" s="52">
        <f t="shared" si="46"/>
        <v>12.00118401598322</v>
      </c>
      <c r="R54" s="52">
        <f t="shared" ref="R54:Z54" si="47">R50/R25</f>
        <v>11.96416996678159</v>
      </c>
      <c r="S54" s="52">
        <f t="shared" si="47"/>
        <v>9.7210914725177435</v>
      </c>
      <c r="T54" s="52">
        <f t="shared" si="47"/>
        <v>14.643121036611367</v>
      </c>
      <c r="U54" s="52">
        <f t="shared" si="47"/>
        <v>16.886898975927313</v>
      </c>
      <c r="V54" s="52">
        <f t="shared" si="47"/>
        <v>13.732426303854876</v>
      </c>
      <c r="W54" s="52">
        <f t="shared" si="47"/>
        <v>15.071580558765698</v>
      </c>
      <c r="X54" s="52">
        <f t="shared" si="47"/>
        <v>15.411835887198635</v>
      </c>
      <c r="Y54" s="52">
        <f t="shared" si="47"/>
        <v>13.74241779873144</v>
      </c>
      <c r="Z54" s="52">
        <f t="shared" si="47"/>
        <v>14.503845688920874</v>
      </c>
      <c r="AA54" s="52">
        <f t="shared" ref="AA54:AG54" si="48">AA50/AA25</f>
        <v>12.26970130115822</v>
      </c>
      <c r="AB54" s="52">
        <f t="shared" si="48"/>
        <v>14.613861013188966</v>
      </c>
      <c r="AC54" s="52">
        <f t="shared" si="48"/>
        <v>11.788586524524243</v>
      </c>
      <c r="AD54" s="52">
        <f t="shared" si="48"/>
        <v>15.573808556557065</v>
      </c>
      <c r="AE54" s="52">
        <f t="shared" si="48"/>
        <v>13.096062110297234</v>
      </c>
      <c r="AF54" s="52">
        <f t="shared" si="48"/>
        <v>14.387745679838329</v>
      </c>
      <c r="AG54" s="52">
        <f t="shared" si="48"/>
        <v>10.173357319241612</v>
      </c>
    </row>
    <row r="55" spans="1:33" ht="15.75" thickBot="1" x14ac:dyDescent="0.3">
      <c r="A55" s="13" t="str">
        <f t="shared" ref="A55:A56" si="49">A44</f>
        <v>CEE</v>
      </c>
      <c r="B55" s="52">
        <f t="shared" ref="B55:H55" si="50">B50/B10</f>
        <v>9.5035171083723502E-2</v>
      </c>
      <c r="C55" s="52">
        <f t="shared" si="50"/>
        <v>7.1103393870954129E-2</v>
      </c>
      <c r="D55" s="52">
        <f t="shared" si="50"/>
        <v>8.2930625554446524E-2</v>
      </c>
      <c r="E55" s="52">
        <f t="shared" si="50"/>
        <v>6.8849117954422293E-2</v>
      </c>
      <c r="F55" s="52">
        <f t="shared" si="50"/>
        <v>7.779856563153964E-2</v>
      </c>
      <c r="G55" s="52">
        <f t="shared" si="50"/>
        <v>8.6286101649936331E-2</v>
      </c>
      <c r="H55" s="52">
        <f t="shared" si="50"/>
        <v>7.7643700336239074E-2</v>
      </c>
      <c r="I55" s="52">
        <f t="shared" ref="I55:M55" si="51">I50/I10</f>
        <v>6.942429038566196E-2</v>
      </c>
      <c r="J55" s="52">
        <f t="shared" si="51"/>
        <v>0.10209318081955612</v>
      </c>
      <c r="K55" s="52">
        <f t="shared" si="51"/>
        <v>9.8542890572222305E-2</v>
      </c>
      <c r="L55" s="52">
        <f t="shared" si="51"/>
        <v>0.12095926929802454</v>
      </c>
      <c r="M55" s="52">
        <f t="shared" si="51"/>
        <v>0.11664171713028351</v>
      </c>
      <c r="N55" s="52">
        <f>N50/N10</f>
        <v>9.0594616216930768E-2</v>
      </c>
      <c r="O55" s="52">
        <f t="shared" ref="O55:Q55" si="52">O50/O10</f>
        <v>0.11675789253254509</v>
      </c>
      <c r="P55" s="52">
        <f t="shared" si="52"/>
        <v>0.11043968872523278</v>
      </c>
      <c r="Q55" s="52">
        <f t="shared" si="52"/>
        <v>0.10230195726407679</v>
      </c>
      <c r="R55" s="52">
        <f t="shared" ref="R55:Z55" si="53">R50/R10</f>
        <v>0.11474870990783848</v>
      </c>
      <c r="S55" s="52">
        <f t="shared" si="53"/>
        <v>8.8203236511412847E-2</v>
      </c>
      <c r="T55" s="52">
        <f t="shared" si="53"/>
        <v>0.11626704971125985</v>
      </c>
      <c r="U55" s="52">
        <f t="shared" si="53"/>
        <v>0.15232845956197585</v>
      </c>
      <c r="V55" s="52">
        <f t="shared" si="53"/>
        <v>0.12303014401289092</v>
      </c>
      <c r="W55" s="52">
        <f t="shared" si="53"/>
        <v>0.13199050682656549</v>
      </c>
      <c r="X55" s="52">
        <f t="shared" si="53"/>
        <v>0.14832535817074941</v>
      </c>
      <c r="Y55" s="52">
        <f t="shared" si="53"/>
        <v>0.12446142348841939</v>
      </c>
      <c r="Z55" s="52">
        <f t="shared" si="53"/>
        <v>0.11662919821815204</v>
      </c>
      <c r="AA55" s="52">
        <f t="shared" ref="AA55:AG55" si="54">AA50/AA10</f>
        <v>0.11687447066769446</v>
      </c>
      <c r="AB55" s="52">
        <f t="shared" si="54"/>
        <v>0.12175936293584314</v>
      </c>
      <c r="AC55" s="52">
        <f t="shared" si="54"/>
        <v>0.11998243264517067</v>
      </c>
      <c r="AD55" s="52">
        <f t="shared" si="54"/>
        <v>0.12848058861055714</v>
      </c>
      <c r="AE55" s="52">
        <f t="shared" si="54"/>
        <v>0.13498172385101398</v>
      </c>
      <c r="AF55" s="52">
        <f t="shared" si="54"/>
        <v>0.13046890831278654</v>
      </c>
      <c r="AG55" s="52">
        <f t="shared" si="54"/>
        <v>0.12500729794207602</v>
      </c>
    </row>
    <row r="56" spans="1:33" ht="15.75" thickBot="1" x14ac:dyDescent="0.3">
      <c r="A56" s="13" t="str">
        <f t="shared" si="49"/>
        <v>SCE</v>
      </c>
      <c r="B56" s="52">
        <f t="shared" ref="B56:H56" si="55">(B50-B25)/B50</f>
        <v>0.9080292751944371</v>
      </c>
      <c r="C56" s="52">
        <f t="shared" si="55"/>
        <v>0.94318510773196185</v>
      </c>
      <c r="D56" s="52">
        <f t="shared" si="55"/>
        <v>0.92553123772856172</v>
      </c>
      <c r="E56" s="52">
        <f t="shared" si="55"/>
        <v>0.89415836128082626</v>
      </c>
      <c r="F56" s="52">
        <f t="shared" si="55"/>
        <v>0.92875526257191532</v>
      </c>
      <c r="G56" s="52">
        <f t="shared" si="55"/>
        <v>0.93073218952786363</v>
      </c>
      <c r="H56" s="52">
        <f t="shared" si="55"/>
        <v>0.90783730274288721</v>
      </c>
      <c r="I56" s="52">
        <f t="shared" ref="I56:M56" si="56">(I50-I25)/I50</f>
        <v>0.90386181752703576</v>
      </c>
      <c r="J56" s="52">
        <f t="shared" si="56"/>
        <v>0.92673000640590486</v>
      </c>
      <c r="K56" s="52">
        <f t="shared" si="56"/>
        <v>0.90534215471116875</v>
      </c>
      <c r="L56" s="52">
        <f t="shared" si="56"/>
        <v>0.94283553510822282</v>
      </c>
      <c r="M56" s="52">
        <f t="shared" si="56"/>
        <v>0.9248145995609941</v>
      </c>
      <c r="N56" s="52">
        <f>(N50-N25)/N50</f>
        <v>0.90321381886016994</v>
      </c>
      <c r="O56" s="52">
        <f t="shared" ref="O56:Q56" si="57">(O50-O25)/O50</f>
        <v>0.92464986265788263</v>
      </c>
      <c r="P56" s="52">
        <f t="shared" si="57"/>
        <v>0.91847423142051443</v>
      </c>
      <c r="Q56" s="52">
        <f t="shared" si="57"/>
        <v>0.91667488818868237</v>
      </c>
      <c r="R56" s="52">
        <f t="shared" ref="R56:Z56" si="58">(R50-R25)/R50</f>
        <v>0.91641710183184533</v>
      </c>
      <c r="S56" s="52">
        <f t="shared" si="58"/>
        <v>0.89713089288100256</v>
      </c>
      <c r="T56" s="52">
        <f t="shared" si="58"/>
        <v>0.9317085478225744</v>
      </c>
      <c r="U56" s="52">
        <f t="shared" si="58"/>
        <v>0.9407824964532846</v>
      </c>
      <c r="V56" s="52">
        <f t="shared" si="58"/>
        <v>0.92717965653896961</v>
      </c>
      <c r="W56" s="52">
        <f t="shared" si="58"/>
        <v>0.93364995820439045</v>
      </c>
      <c r="X56" s="52">
        <f t="shared" si="58"/>
        <v>0.93511480349783516</v>
      </c>
      <c r="Y56" s="52">
        <f t="shared" si="58"/>
        <v>0.92723260094069404</v>
      </c>
      <c r="Z56" s="52">
        <f t="shared" si="58"/>
        <v>0.93105276893811173</v>
      </c>
      <c r="AA56" s="52">
        <f t="shared" ref="AA56:AG56" si="59">(AA50-AA25)/AA50</f>
        <v>0.91849842343712118</v>
      </c>
      <c r="AB56" s="52">
        <f t="shared" si="59"/>
        <v>0.93157181397185163</v>
      </c>
      <c r="AC56" s="52">
        <f t="shared" si="59"/>
        <v>0.91517218812283707</v>
      </c>
      <c r="AD56" s="52">
        <f t="shared" si="59"/>
        <v>0.9357896306244905</v>
      </c>
      <c r="AE56" s="52">
        <f t="shared" si="59"/>
        <v>0.92364116849952049</v>
      </c>
      <c r="AF56" s="52">
        <f t="shared" si="59"/>
        <v>0.93049640838444148</v>
      </c>
      <c r="AG56" s="52">
        <f t="shared" si="59"/>
        <v>0.90170403254109366</v>
      </c>
    </row>
    <row r="57" spans="1:33" ht="15.75" thickBot="1" x14ac:dyDescent="0.3">
      <c r="A57" s="13" t="str">
        <f>A46</f>
        <v>VAIC</v>
      </c>
      <c r="B57" s="52">
        <f t="shared" ref="B57:H57" si="60">SUM(B54:B56)</f>
        <v>11.876089554149381</v>
      </c>
      <c r="C57" s="52">
        <f t="shared" si="60"/>
        <v>18.615307531653269</v>
      </c>
      <c r="D57" s="52">
        <f t="shared" si="60"/>
        <v>14.436911182139756</v>
      </c>
      <c r="E57" s="52">
        <f t="shared" si="60"/>
        <v>10.411084928728148</v>
      </c>
      <c r="F57" s="52">
        <f t="shared" si="60"/>
        <v>15.042678264894834</v>
      </c>
      <c r="G57" s="52">
        <f t="shared" si="60"/>
        <v>15.453738510626049</v>
      </c>
      <c r="H57" s="52">
        <f t="shared" si="60"/>
        <v>11.835857888319689</v>
      </c>
      <c r="I57" s="52">
        <f t="shared" ref="I57:M57" si="61">SUM(I54:I56)</f>
        <v>11.374980567668249</v>
      </c>
      <c r="J57" s="52">
        <f t="shared" si="61"/>
        <v>14.676975056049834</v>
      </c>
      <c r="K57" s="52">
        <f t="shared" si="61"/>
        <v>11.568249752177801</v>
      </c>
      <c r="L57" s="52">
        <f t="shared" si="61"/>
        <v>18.557179932618027</v>
      </c>
      <c r="M57" s="52">
        <f t="shared" si="61"/>
        <v>14.341910848568764</v>
      </c>
      <c r="N57" s="52">
        <f>SUM(N54:N56)</f>
        <v>11.325861918572521</v>
      </c>
      <c r="O57" s="52">
        <f t="shared" ref="O57" si="62">SUM(O54:O56)</f>
        <v>14.312783697872939</v>
      </c>
      <c r="P57" s="52">
        <f t="shared" ref="P57" si="63">SUM(P54:P56)</f>
        <v>13.294974301104007</v>
      </c>
      <c r="Q57" s="52">
        <f t="shared" ref="Q57:Y57" si="64">SUM(Q54:Q56)</f>
        <v>13.020160861435979</v>
      </c>
      <c r="R57" s="52">
        <f t="shared" si="64"/>
        <v>12.995335778521273</v>
      </c>
      <c r="S57" s="52">
        <f t="shared" si="64"/>
        <v>10.706425601910158</v>
      </c>
      <c r="T57" s="52">
        <f t="shared" si="64"/>
        <v>15.6910966341452</v>
      </c>
      <c r="U57" s="52">
        <f t="shared" si="64"/>
        <v>17.980009931942572</v>
      </c>
      <c r="V57" s="52">
        <f t="shared" si="64"/>
        <v>14.782636104406736</v>
      </c>
      <c r="W57" s="52">
        <f t="shared" si="64"/>
        <v>16.137221023796652</v>
      </c>
      <c r="X57" s="52">
        <f t="shared" si="64"/>
        <v>16.495276048867218</v>
      </c>
      <c r="Y57" s="52">
        <f t="shared" si="64"/>
        <v>14.794111823160554</v>
      </c>
      <c r="Z57" s="52">
        <f t="shared" ref="Z57:AG57" si="65">SUM(Z54:Z56)</f>
        <v>15.551527656077139</v>
      </c>
      <c r="AA57" s="52">
        <f t="shared" si="65"/>
        <v>13.305074195263035</v>
      </c>
      <c r="AB57" s="52">
        <f t="shared" si="65"/>
        <v>15.667192190096662</v>
      </c>
      <c r="AC57" s="52">
        <f t="shared" si="65"/>
        <v>12.823741145292251</v>
      </c>
      <c r="AD57" s="52">
        <f t="shared" si="65"/>
        <v>16.638078775792113</v>
      </c>
      <c r="AE57" s="52">
        <f t="shared" si="65"/>
        <v>14.154685002647769</v>
      </c>
      <c r="AF57" s="52">
        <f t="shared" si="65"/>
        <v>15.448710996535556</v>
      </c>
      <c r="AG57" s="52">
        <f t="shared" si="65"/>
        <v>11.200068649724782</v>
      </c>
    </row>
    <row r="58" spans="1:33" x14ac:dyDescent="0.25">
      <c r="A58" s="88" t="s">
        <v>136</v>
      </c>
      <c r="B58" s="89">
        <f>B32*B18</f>
        <v>4574196.1900000004</v>
      </c>
      <c r="C58" s="89">
        <f>C32*C18</f>
        <v>7372573.4399999995</v>
      </c>
      <c r="D58" s="89">
        <f t="shared" ref="D58:N58" si="66">D32*D18</f>
        <v>4548616.79</v>
      </c>
      <c r="E58" s="89">
        <f t="shared" si="66"/>
        <v>670692.27999999991</v>
      </c>
      <c r="F58" s="89">
        <f t="shared" si="66"/>
        <v>3084808.76</v>
      </c>
      <c r="G58" s="89">
        <f t="shared" si="66"/>
        <v>4485325.5</v>
      </c>
      <c r="H58" s="89">
        <f t="shared" si="66"/>
        <v>2883138</v>
      </c>
      <c r="I58" s="89">
        <f t="shared" si="66"/>
        <v>4323975.5999999996</v>
      </c>
      <c r="J58" s="89">
        <f t="shared" si="66"/>
        <v>1577102.25</v>
      </c>
      <c r="K58" s="89">
        <f t="shared" si="66"/>
        <v>2123850.73</v>
      </c>
      <c r="L58" s="89">
        <f t="shared" si="66"/>
        <v>5505886.3399999999</v>
      </c>
      <c r="M58" s="89">
        <f t="shared" si="66"/>
        <v>2610094.98</v>
      </c>
      <c r="N58" s="89">
        <f t="shared" si="66"/>
        <v>1242767.96</v>
      </c>
      <c r="O58" s="89">
        <f>O18*O32</f>
        <v>3136348.7399999998</v>
      </c>
      <c r="P58" s="89">
        <f t="shared" ref="P58:AG58" si="67">P18*P32</f>
        <v>1218732.06</v>
      </c>
      <c r="Q58" s="89">
        <f t="shared" si="67"/>
        <v>2597097.84</v>
      </c>
      <c r="R58" s="89">
        <f t="shared" si="67"/>
        <v>3176655.3</v>
      </c>
      <c r="S58" s="89">
        <f t="shared" si="67"/>
        <v>2889086.4</v>
      </c>
      <c r="T58" s="89">
        <f t="shared" si="67"/>
        <v>1914719.0999999999</v>
      </c>
      <c r="U58" s="89">
        <f t="shared" si="67"/>
        <v>112282.31999999999</v>
      </c>
      <c r="V58" s="89">
        <f t="shared" si="67"/>
        <v>1193471.51</v>
      </c>
      <c r="W58" s="89">
        <f t="shared" si="67"/>
        <v>1014552.37</v>
      </c>
      <c r="X58" s="89">
        <f t="shared" si="67"/>
        <v>5721638.6499999994</v>
      </c>
      <c r="Y58" s="89">
        <f t="shared" si="67"/>
        <v>6557077.9500000002</v>
      </c>
      <c r="Z58" s="89">
        <f t="shared" si="67"/>
        <v>2869123.1999999997</v>
      </c>
      <c r="AA58" s="89">
        <f t="shared" si="67"/>
        <v>3924687.1999999997</v>
      </c>
      <c r="AB58" s="89">
        <f t="shared" si="67"/>
        <v>5698250.7400000002</v>
      </c>
      <c r="AC58" s="89">
        <f t="shared" si="67"/>
        <v>2979709.6999999997</v>
      </c>
      <c r="AD58" s="89">
        <f t="shared" si="67"/>
        <v>3129471.25</v>
      </c>
      <c r="AE58" s="89">
        <f t="shared" si="67"/>
        <v>3274662.4</v>
      </c>
      <c r="AF58" s="89">
        <f t="shared" si="67"/>
        <v>2693697.48</v>
      </c>
      <c r="AG58" s="89">
        <f t="shared" si="67"/>
        <v>1911481.18</v>
      </c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33" x14ac:dyDescent="0.25">
      <c r="B60" s="53">
        <f>B50/(B10-B9)</f>
        <v>9.8094545794971233E-2</v>
      </c>
      <c r="C60" s="53">
        <f t="shared" ref="C60:AG60" si="68">C50/(C10-C9)</f>
        <v>7.2280853393317787E-2</v>
      </c>
      <c r="D60" s="53">
        <f t="shared" si="68"/>
        <v>8.4865043391428877E-2</v>
      </c>
      <c r="E60" s="53">
        <f t="shared" si="68"/>
        <v>7.0819762020622845E-2</v>
      </c>
      <c r="F60" s="53">
        <f t="shared" si="68"/>
        <v>7.9901933427476868E-2</v>
      </c>
      <c r="G60" s="53">
        <f t="shared" si="68"/>
        <v>9.001424189373064E-2</v>
      </c>
      <c r="H60" s="53">
        <f t="shared" si="68"/>
        <v>8.0510513696355798E-2</v>
      </c>
      <c r="I60" s="53">
        <f t="shared" si="68"/>
        <v>7.1588882367433868E-2</v>
      </c>
      <c r="J60" s="53">
        <f t="shared" si="68"/>
        <v>0.10499014237289241</v>
      </c>
      <c r="K60" s="53">
        <f t="shared" si="68"/>
        <v>0.10054098612826459</v>
      </c>
      <c r="L60" s="53">
        <f t="shared" si="68"/>
        <v>0.12566806575773035</v>
      </c>
      <c r="M60" s="53">
        <f t="shared" si="68"/>
        <v>0.12044742244447677</v>
      </c>
      <c r="N60" s="53">
        <f t="shared" si="68"/>
        <v>9.1676672792097721E-2</v>
      </c>
      <c r="O60" s="53">
        <f t="shared" si="68"/>
        <v>0.12070717061403763</v>
      </c>
      <c r="P60" s="53">
        <f t="shared" si="68"/>
        <v>0.11328141057437496</v>
      </c>
      <c r="Q60" s="53">
        <f t="shared" si="68"/>
        <v>0.1045724905251907</v>
      </c>
      <c r="R60" s="53">
        <f t="shared" si="68"/>
        <v>0.11804967849957206</v>
      </c>
      <c r="S60" s="53">
        <f t="shared" si="68"/>
        <v>9.0478124771382618E-2</v>
      </c>
      <c r="T60" s="53">
        <f t="shared" si="68"/>
        <v>0.12072590055223163</v>
      </c>
      <c r="U60" s="53">
        <f t="shared" si="68"/>
        <v>0.15850086343977948</v>
      </c>
      <c r="V60" s="53">
        <f t="shared" si="68"/>
        <v>0.12709710575297442</v>
      </c>
      <c r="W60" s="53">
        <f t="shared" si="68"/>
        <v>0.1369210395385648</v>
      </c>
      <c r="X60" s="53">
        <f t="shared" si="68"/>
        <v>0.15540049747299881</v>
      </c>
      <c r="Y60" s="53">
        <f t="shared" si="68"/>
        <v>0.12795062497086113</v>
      </c>
      <c r="Z60" s="53">
        <f t="shared" si="68"/>
        <v>0.12040853262361163</v>
      </c>
      <c r="AA60" s="53">
        <f t="shared" si="68"/>
        <v>0.11973950946460502</v>
      </c>
      <c r="AB60" s="53">
        <f t="shared" si="68"/>
        <v>0.124852170228654</v>
      </c>
      <c r="AC60" s="53">
        <f t="shared" si="68"/>
        <v>0.12366707030517202</v>
      </c>
      <c r="AD60" s="53">
        <f t="shared" si="68"/>
        <v>0.13337958322776033</v>
      </c>
      <c r="AE60" s="53">
        <f t="shared" si="68"/>
        <v>0.14117875889940695</v>
      </c>
      <c r="AF60" s="53">
        <f t="shared" si="68"/>
        <v>0.13604000909819602</v>
      </c>
      <c r="AG60" s="53">
        <f t="shared" si="68"/>
        <v>0.12950682840684849</v>
      </c>
    </row>
    <row r="61" spans="1:33" x14ac:dyDescent="0.25">
      <c r="B61" s="53">
        <f>B50/B9</f>
        <v>3.0471690531177829</v>
      </c>
      <c r="C61" s="53">
        <f t="shared" ref="C61:AG61" si="69">C50/C9</f>
        <v>4.3648328375966683</v>
      </c>
      <c r="D61" s="53">
        <f t="shared" si="69"/>
        <v>3.6382579821200509</v>
      </c>
      <c r="E61" s="53">
        <f t="shared" si="69"/>
        <v>2.4742561239193082</v>
      </c>
      <c r="F61" s="53">
        <f t="shared" si="69"/>
        <v>2.9553822321761851</v>
      </c>
      <c r="G61" s="53">
        <f t="shared" si="69"/>
        <v>2.083338479262673</v>
      </c>
      <c r="H61" s="53">
        <f t="shared" si="69"/>
        <v>2.1805166273893688</v>
      </c>
      <c r="I61" s="53">
        <f t="shared" si="69"/>
        <v>2.296048123486683</v>
      </c>
      <c r="J61" s="53">
        <f t="shared" si="69"/>
        <v>3.7000068493150686</v>
      </c>
      <c r="K61" s="53">
        <f t="shared" si="69"/>
        <v>4.9585213100044863</v>
      </c>
      <c r="L61" s="53">
        <f t="shared" si="69"/>
        <v>3.2281534226902826</v>
      </c>
      <c r="M61" s="53">
        <f t="shared" si="69"/>
        <v>3.6916137793024584</v>
      </c>
      <c r="N61" s="53">
        <f t="shared" si="69"/>
        <v>7.6755810909090911</v>
      </c>
      <c r="O61" s="53">
        <f t="shared" si="69"/>
        <v>3.5686306620209058</v>
      </c>
      <c r="P61" s="53">
        <f t="shared" si="69"/>
        <v>4.4025293066476054</v>
      </c>
      <c r="Q61" s="53">
        <f t="shared" si="69"/>
        <v>4.7116554687500001</v>
      </c>
      <c r="R61" s="53">
        <f t="shared" si="69"/>
        <v>4.1036586493987048</v>
      </c>
      <c r="S61" s="53">
        <f t="shared" si="69"/>
        <v>3.5080683208701564</v>
      </c>
      <c r="T61" s="53">
        <f t="shared" si="69"/>
        <v>3.1479959257582615</v>
      </c>
      <c r="U61" s="53">
        <f t="shared" si="69"/>
        <v>3.9116352145796589</v>
      </c>
      <c r="V61" s="53">
        <f t="shared" si="69"/>
        <v>3.844829684601113</v>
      </c>
      <c r="W61" s="53">
        <f t="shared" si="69"/>
        <v>3.6653802863802865</v>
      </c>
      <c r="X61" s="53">
        <f t="shared" si="69"/>
        <v>3.2578629851523835</v>
      </c>
      <c r="Y61" s="53">
        <f t="shared" si="69"/>
        <v>4.5640577078288942</v>
      </c>
      <c r="Z61" s="53">
        <f t="shared" si="69"/>
        <v>3.7157734965790423</v>
      </c>
      <c r="AA61" s="53">
        <f t="shared" si="69"/>
        <v>4.8845732217573223</v>
      </c>
      <c r="AB61" s="53">
        <f t="shared" si="69"/>
        <v>4.9152498907820013</v>
      </c>
      <c r="AC61" s="53">
        <f t="shared" si="69"/>
        <v>4.0269565972222221</v>
      </c>
      <c r="AD61" s="53">
        <f t="shared" si="69"/>
        <v>3.498000855431993</v>
      </c>
      <c r="AE61" s="53">
        <f t="shared" si="69"/>
        <v>3.0751080312722103</v>
      </c>
      <c r="AF61" s="53">
        <f t="shared" si="69"/>
        <v>3.1859038559107051</v>
      </c>
      <c r="AG61" s="53">
        <f t="shared" si="69"/>
        <v>3.5979973490427097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61"/>
  <sheetViews>
    <sheetView topLeftCell="A46" workbookViewId="0">
      <pane xSplit="1" topLeftCell="B1" activePane="topRight" state="frozenSplit"/>
      <selection pane="topRight" activeCell="B61" sqref="B61"/>
    </sheetView>
  </sheetViews>
  <sheetFormatPr defaultRowHeight="15" x14ac:dyDescent="0.25"/>
  <cols>
    <col min="1" max="1" width="32.85546875" bestFit="1" customWidth="1"/>
    <col min="2" max="2" width="11.5703125" style="8" bestFit="1" customWidth="1"/>
    <col min="3" max="13" width="11.85546875" style="8" customWidth="1"/>
    <col min="14" max="14" width="11.5703125" bestFit="1" customWidth="1"/>
    <col min="15" max="15" width="11.42578125" customWidth="1"/>
    <col min="16" max="16" width="11.5703125" bestFit="1" customWidth="1"/>
    <col min="17" max="17" width="12.28515625" customWidth="1"/>
    <col min="18" max="19" width="11.7109375" customWidth="1"/>
    <col min="20" max="20" width="11.28515625" customWidth="1"/>
    <col min="21" max="21" width="10.7109375" customWidth="1"/>
    <col min="22" max="22" width="11.5703125" bestFit="1" customWidth="1"/>
    <col min="23" max="23" width="11.28515625" customWidth="1"/>
    <col min="24" max="24" width="11.5703125" bestFit="1" customWidth="1"/>
    <col min="25" max="25" width="10.85546875" customWidth="1"/>
    <col min="26" max="28" width="11.5703125" bestFit="1" customWidth="1"/>
    <col min="29" max="31" width="10.7109375" customWidth="1"/>
    <col min="32" max="32" width="10.85546875" customWidth="1"/>
    <col min="33" max="33" width="11.7109375" customWidth="1"/>
  </cols>
  <sheetData>
    <row r="2" spans="1:33" x14ac:dyDescent="0.25">
      <c r="R2" s="8" t="s">
        <v>49</v>
      </c>
    </row>
    <row r="3" spans="1:33" x14ac:dyDescent="0.25">
      <c r="A3" s="8" t="s">
        <v>1</v>
      </c>
      <c r="B3" s="1" t="s">
        <v>61</v>
      </c>
      <c r="C3" s="1" t="s">
        <v>62</v>
      </c>
      <c r="D3" s="1" t="s">
        <v>70</v>
      </c>
      <c r="E3" s="1" t="s">
        <v>63</v>
      </c>
      <c r="F3" s="29" t="s">
        <v>64</v>
      </c>
      <c r="G3" s="29" t="s">
        <v>65</v>
      </c>
      <c r="H3" s="29" t="s">
        <v>66</v>
      </c>
      <c r="I3" s="29" t="s">
        <v>67</v>
      </c>
      <c r="J3" s="1" t="s">
        <v>68</v>
      </c>
      <c r="K3" s="1" t="s">
        <v>69</v>
      </c>
      <c r="L3" s="1" t="s">
        <v>71</v>
      </c>
      <c r="M3" s="1" t="s">
        <v>72</v>
      </c>
      <c r="N3" s="1" t="s">
        <v>14</v>
      </c>
      <c r="O3" s="1" t="s">
        <v>15</v>
      </c>
      <c r="P3" s="1" t="s">
        <v>16</v>
      </c>
      <c r="Q3" s="1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1" t="s">
        <v>26</v>
      </c>
      <c r="AA3" s="1" t="s">
        <v>27</v>
      </c>
      <c r="AB3" s="1" t="s">
        <v>28</v>
      </c>
      <c r="AC3" s="1" t="s">
        <v>29</v>
      </c>
      <c r="AD3" s="4" t="s">
        <v>30</v>
      </c>
      <c r="AE3" s="4" t="s">
        <v>31</v>
      </c>
      <c r="AF3" s="4" t="s">
        <v>32</v>
      </c>
      <c r="AG3" s="4" t="s">
        <v>33</v>
      </c>
    </row>
    <row r="4" spans="1:33" ht="15.75" thickBot="1" x14ac:dyDescent="0.3">
      <c r="A4" s="8" t="s">
        <v>2</v>
      </c>
      <c r="B4" s="55">
        <v>2633788</v>
      </c>
      <c r="C4" s="55">
        <v>2162092</v>
      </c>
      <c r="D4" s="55">
        <v>1777080</v>
      </c>
      <c r="E4" s="55">
        <v>1181583</v>
      </c>
      <c r="F4" s="55">
        <v>1276942</v>
      </c>
      <c r="G4" s="55">
        <v>1296941</v>
      </c>
      <c r="H4" s="55">
        <v>1453178</v>
      </c>
      <c r="I4" s="55">
        <v>1849936</v>
      </c>
      <c r="J4" s="55">
        <v>2006647</v>
      </c>
      <c r="K4" s="55">
        <v>2110470</v>
      </c>
      <c r="L4" s="55">
        <v>2622381</v>
      </c>
      <c r="M4" s="55">
        <v>1849936</v>
      </c>
      <c r="N4" s="112">
        <v>1407542</v>
      </c>
      <c r="O4" s="112">
        <v>26267504</v>
      </c>
      <c r="P4" s="112">
        <v>1981259</v>
      </c>
      <c r="Q4" s="112">
        <v>2432170</v>
      </c>
      <c r="R4" s="112">
        <v>2704339</v>
      </c>
      <c r="S4" s="112">
        <v>2584831</v>
      </c>
      <c r="T4" s="112">
        <v>4552101</v>
      </c>
      <c r="U4" s="113">
        <v>4340309</v>
      </c>
      <c r="V4" s="112">
        <v>4169578</v>
      </c>
      <c r="W4" s="112">
        <v>4140842</v>
      </c>
      <c r="X4" s="112">
        <v>3595302</v>
      </c>
      <c r="Y4" s="114">
        <v>3825707</v>
      </c>
      <c r="Z4" s="112">
        <v>3650347</v>
      </c>
      <c r="AA4" s="112">
        <v>3602405</v>
      </c>
      <c r="AB4" s="112">
        <v>2817336</v>
      </c>
      <c r="AC4" s="114">
        <v>3825707</v>
      </c>
      <c r="AD4" s="114">
        <v>4171130</v>
      </c>
      <c r="AE4" s="114">
        <v>4029438</v>
      </c>
      <c r="AF4" s="114">
        <v>4380115</v>
      </c>
      <c r="AG4" s="114">
        <v>3992273</v>
      </c>
    </row>
    <row r="5" spans="1:33" ht="15.75" thickBot="1" x14ac:dyDescent="0.3">
      <c r="A5" s="8" t="s">
        <v>3</v>
      </c>
      <c r="B5" s="55">
        <v>0</v>
      </c>
      <c r="C5" s="55">
        <v>1836</v>
      </c>
      <c r="D5" s="55">
        <v>40400</v>
      </c>
      <c r="E5" s="55">
        <v>59832</v>
      </c>
      <c r="F5" s="55">
        <v>58681</v>
      </c>
      <c r="G5" s="55">
        <v>39969</v>
      </c>
      <c r="H5" s="55">
        <v>32990</v>
      </c>
      <c r="I5" s="55">
        <v>39422</v>
      </c>
      <c r="J5" s="55">
        <v>30366</v>
      </c>
      <c r="K5" s="55">
        <v>25013</v>
      </c>
      <c r="L5" s="55">
        <v>24446</v>
      </c>
      <c r="M5" s="55">
        <v>39422</v>
      </c>
      <c r="N5" s="112">
        <v>47324</v>
      </c>
      <c r="O5" s="112">
        <v>27718</v>
      </c>
      <c r="P5" s="112">
        <v>31549</v>
      </c>
      <c r="Q5" s="112">
        <v>43617</v>
      </c>
      <c r="R5" s="112">
        <v>45295</v>
      </c>
      <c r="S5" s="112">
        <v>69654</v>
      </c>
      <c r="T5" s="112">
        <v>64008</v>
      </c>
      <c r="U5" s="113">
        <v>50300</v>
      </c>
      <c r="V5" s="112">
        <v>125151</v>
      </c>
      <c r="W5" s="112">
        <v>104595</v>
      </c>
      <c r="X5" s="112">
        <v>129723</v>
      </c>
      <c r="Y5" s="114">
        <v>62680</v>
      </c>
      <c r="Z5" s="112">
        <v>132762</v>
      </c>
      <c r="AA5" s="112">
        <v>81563</v>
      </c>
      <c r="AB5" s="112">
        <v>73454</v>
      </c>
      <c r="AC5" s="114">
        <v>62680</v>
      </c>
      <c r="AD5" s="114">
        <v>81125</v>
      </c>
      <c r="AE5" s="114">
        <v>92945</v>
      </c>
      <c r="AF5" s="114">
        <v>81004</v>
      </c>
      <c r="AG5" s="114">
        <v>103613</v>
      </c>
    </row>
    <row r="6" spans="1:33" ht="15.75" thickBot="1" x14ac:dyDescent="0.3">
      <c r="A6" s="8" t="s">
        <v>4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112">
        <v>0</v>
      </c>
      <c r="O6" s="112">
        <v>0</v>
      </c>
      <c r="P6" s="112">
        <v>0</v>
      </c>
      <c r="Q6" s="112">
        <v>0</v>
      </c>
      <c r="R6" s="112">
        <v>0</v>
      </c>
      <c r="S6" s="112">
        <v>0</v>
      </c>
      <c r="T6" s="112">
        <v>0</v>
      </c>
      <c r="U6" s="113">
        <v>0</v>
      </c>
      <c r="V6" s="112">
        <v>0</v>
      </c>
      <c r="W6" s="112">
        <v>0</v>
      </c>
      <c r="X6" s="112">
        <v>0</v>
      </c>
      <c r="Y6" s="114">
        <v>0</v>
      </c>
      <c r="Z6" s="112">
        <v>0</v>
      </c>
      <c r="AA6" s="112">
        <v>0</v>
      </c>
      <c r="AB6" s="112">
        <v>0</v>
      </c>
      <c r="AC6" s="114">
        <v>0</v>
      </c>
      <c r="AD6" s="114">
        <v>0</v>
      </c>
      <c r="AE6" s="114">
        <v>0</v>
      </c>
      <c r="AF6" s="114">
        <v>0</v>
      </c>
      <c r="AG6" s="114">
        <v>0</v>
      </c>
    </row>
    <row r="7" spans="1:33" ht="15.75" thickBot="1" x14ac:dyDescent="0.3">
      <c r="A7" s="8" t="s">
        <v>5</v>
      </c>
      <c r="B7" s="55">
        <v>256938</v>
      </c>
      <c r="C7" s="55">
        <v>1173710</v>
      </c>
      <c r="D7" s="55">
        <v>2011608</v>
      </c>
      <c r="E7" s="55">
        <v>2408987</v>
      </c>
      <c r="F7" s="55">
        <v>3097010</v>
      </c>
      <c r="G7" s="55">
        <v>3241696</v>
      </c>
      <c r="H7" s="55">
        <v>3243899</v>
      </c>
      <c r="I7" s="55">
        <v>3846700</v>
      </c>
      <c r="J7" s="55">
        <v>3766294</v>
      </c>
      <c r="K7" s="55">
        <v>3974830</v>
      </c>
      <c r="L7" s="55">
        <v>3931187</v>
      </c>
      <c r="M7" s="55">
        <v>3846700</v>
      </c>
      <c r="N7" s="112">
        <v>4277859</v>
      </c>
      <c r="O7" s="112">
        <v>3850682</v>
      </c>
      <c r="P7" s="112">
        <v>4042648</v>
      </c>
      <c r="Q7" s="112">
        <v>4058813</v>
      </c>
      <c r="R7" s="112">
        <v>4130473</v>
      </c>
      <c r="S7" s="112">
        <v>4195080</v>
      </c>
      <c r="T7" s="112">
        <v>4237034</v>
      </c>
      <c r="U7" s="113">
        <v>23559347</v>
      </c>
      <c r="V7" s="112">
        <v>4270746</v>
      </c>
      <c r="W7" s="112">
        <v>4301957</v>
      </c>
      <c r="X7" s="112">
        <v>4277530</v>
      </c>
      <c r="Y7" s="114">
        <v>21765445</v>
      </c>
      <c r="Z7" s="112">
        <v>4236125</v>
      </c>
      <c r="AA7" s="112">
        <v>4224532</v>
      </c>
      <c r="AB7" s="112">
        <v>4212154</v>
      </c>
      <c r="AC7" s="114">
        <v>21765445</v>
      </c>
      <c r="AD7" s="114">
        <v>21655044</v>
      </c>
      <c r="AE7" s="114">
        <v>21911421</v>
      </c>
      <c r="AF7" s="114">
        <v>21664448</v>
      </c>
      <c r="AG7" s="114">
        <v>21820220</v>
      </c>
    </row>
    <row r="8" spans="1:33" ht="15.75" thickBot="1" x14ac:dyDescent="0.3">
      <c r="A8" s="8" t="s">
        <v>6</v>
      </c>
      <c r="B8" s="55">
        <v>23066866</v>
      </c>
      <c r="C8" s="55">
        <v>23280210</v>
      </c>
      <c r="D8" s="55">
        <v>23315678</v>
      </c>
      <c r="E8" s="55">
        <v>23074860</v>
      </c>
      <c r="F8" s="55">
        <v>22836794</v>
      </c>
      <c r="G8" s="55">
        <v>22590708</v>
      </c>
      <c r="H8" s="55">
        <v>22375546</v>
      </c>
      <c r="I8" s="55">
        <v>22133477</v>
      </c>
      <c r="J8" s="55">
        <v>21887685</v>
      </c>
      <c r="K8" s="55">
        <v>21648813</v>
      </c>
      <c r="L8" s="55">
        <v>21407409</v>
      </c>
      <c r="M8" s="55">
        <v>22133477</v>
      </c>
      <c r="N8" s="112">
        <v>20909164</v>
      </c>
      <c r="O8" s="112">
        <v>20740600</v>
      </c>
      <c r="P8" s="112">
        <v>20498175</v>
      </c>
      <c r="Q8" s="112">
        <v>20252778</v>
      </c>
      <c r="R8" s="112">
        <v>20008706</v>
      </c>
      <c r="S8" s="112">
        <v>19766186</v>
      </c>
      <c r="T8" s="112">
        <v>19519662</v>
      </c>
      <c r="U8" s="113">
        <v>0</v>
      </c>
      <c r="V8" s="112">
        <v>19051800</v>
      </c>
      <c r="W8" s="112">
        <v>18807720</v>
      </c>
      <c r="X8" s="112">
        <v>18561552</v>
      </c>
      <c r="Y8" s="114">
        <v>211694</v>
      </c>
      <c r="Z8" s="112">
        <v>18143865</v>
      </c>
      <c r="AA8" s="112">
        <v>1788817</v>
      </c>
      <c r="AB8" s="112">
        <v>17691423</v>
      </c>
      <c r="AC8" s="114">
        <v>211694</v>
      </c>
      <c r="AD8" s="114">
        <v>193131</v>
      </c>
      <c r="AE8" s="114">
        <v>351876</v>
      </c>
      <c r="AF8" s="114">
        <v>333807</v>
      </c>
      <c r="AG8" s="114">
        <v>132102</v>
      </c>
    </row>
    <row r="9" spans="1:33" s="8" customFormat="1" ht="15.75" thickBot="1" x14ac:dyDescent="0.3">
      <c r="A9" s="59" t="s">
        <v>137</v>
      </c>
      <c r="B9" s="95">
        <v>241792</v>
      </c>
      <c r="C9" s="95">
        <v>1148051</v>
      </c>
      <c r="D9" s="95">
        <v>208984</v>
      </c>
      <c r="E9" s="95">
        <v>564050</v>
      </c>
      <c r="F9" s="95">
        <v>462110</v>
      </c>
      <c r="G9" s="95">
        <v>574811</v>
      </c>
      <c r="H9" s="95">
        <v>552196</v>
      </c>
      <c r="I9" s="95">
        <v>439261</v>
      </c>
      <c r="J9" s="95">
        <v>245792</v>
      </c>
      <c r="K9" s="95">
        <v>484664</v>
      </c>
      <c r="L9" s="95">
        <v>241404</v>
      </c>
      <c r="M9" s="95">
        <v>252781</v>
      </c>
      <c r="N9" s="115">
        <v>245464</v>
      </c>
      <c r="O9" s="115">
        <v>168564</v>
      </c>
      <c r="P9" s="115">
        <v>242425</v>
      </c>
      <c r="Q9" s="115">
        <v>245397</v>
      </c>
      <c r="R9" s="115">
        <v>244072</v>
      </c>
      <c r="S9" s="115">
        <v>242520</v>
      </c>
      <c r="T9" s="115">
        <v>246524</v>
      </c>
      <c r="U9" s="116">
        <v>245309</v>
      </c>
      <c r="V9" s="115">
        <v>222553</v>
      </c>
      <c r="W9" s="115">
        <v>244080</v>
      </c>
      <c r="X9" s="115">
        <v>246168</v>
      </c>
      <c r="Y9" s="116">
        <v>210426</v>
      </c>
      <c r="Z9" s="115">
        <v>207261</v>
      </c>
      <c r="AA9" s="115">
        <v>255048</v>
      </c>
      <c r="AB9" s="115">
        <v>197394</v>
      </c>
      <c r="AC9" s="116">
        <v>222413</v>
      </c>
      <c r="AD9" s="116">
        <v>232317</v>
      </c>
      <c r="AE9" s="116">
        <v>42755</v>
      </c>
      <c r="AF9" s="116">
        <v>242140</v>
      </c>
      <c r="AG9" s="116">
        <v>139042</v>
      </c>
    </row>
    <row r="10" spans="1:33" ht="15.75" thickBot="1" x14ac:dyDescent="0.3">
      <c r="A10" s="8" t="s">
        <v>7</v>
      </c>
      <c r="B10" s="55">
        <v>25957592</v>
      </c>
      <c r="C10" s="55">
        <v>26616012</v>
      </c>
      <c r="D10" s="55">
        <v>27104366</v>
      </c>
      <c r="E10" s="55">
        <v>26665430</v>
      </c>
      <c r="F10" s="55">
        <v>27210746</v>
      </c>
      <c r="G10" s="55">
        <v>27129345</v>
      </c>
      <c r="H10" s="55">
        <v>27072623</v>
      </c>
      <c r="I10" s="55">
        <v>27830113</v>
      </c>
      <c r="J10" s="55">
        <v>27660626</v>
      </c>
      <c r="K10" s="55">
        <v>27743113</v>
      </c>
      <c r="L10" s="55">
        <v>27960977</v>
      </c>
      <c r="M10" s="55">
        <v>27830113</v>
      </c>
      <c r="N10" s="112">
        <v>26594565</v>
      </c>
      <c r="O10" s="112">
        <v>26267504</v>
      </c>
      <c r="P10" s="112">
        <v>26522082</v>
      </c>
      <c r="Q10" s="112">
        <v>26743761</v>
      </c>
      <c r="R10" s="112">
        <v>24139179</v>
      </c>
      <c r="S10" s="112">
        <v>26546097</v>
      </c>
      <c r="T10" s="112">
        <v>28308797</v>
      </c>
      <c r="U10" s="113">
        <v>27949956</v>
      </c>
      <c r="V10" s="112">
        <v>27573407</v>
      </c>
      <c r="W10" s="112">
        <v>27383087</v>
      </c>
      <c r="X10" s="112">
        <v>26735925</v>
      </c>
      <c r="Y10" s="114">
        <v>25865526</v>
      </c>
      <c r="Z10" s="112">
        <v>26295741</v>
      </c>
      <c r="AA10" s="112">
        <v>25963090</v>
      </c>
      <c r="AB10" s="112">
        <v>25950181</v>
      </c>
      <c r="AC10" s="114">
        <v>25865526</v>
      </c>
      <c r="AD10" s="114">
        <v>26100430</v>
      </c>
      <c r="AE10" s="114">
        <v>26385680</v>
      </c>
      <c r="AF10" s="114">
        <v>26459374</v>
      </c>
      <c r="AG10" s="114">
        <v>26048208</v>
      </c>
    </row>
    <row r="11" spans="1:33" ht="15.75" thickBot="1" x14ac:dyDescent="0.3">
      <c r="A11" s="8" t="s">
        <v>8</v>
      </c>
      <c r="B11" s="55">
        <v>3334358</v>
      </c>
      <c r="C11" s="55">
        <v>4146922</v>
      </c>
      <c r="D11" s="55">
        <v>3570946</v>
      </c>
      <c r="E11" s="55">
        <v>13090096</v>
      </c>
      <c r="F11" s="55">
        <v>14399422</v>
      </c>
      <c r="G11" s="55">
        <v>15172459</v>
      </c>
      <c r="H11" s="55">
        <v>5778988</v>
      </c>
      <c r="I11" s="55">
        <v>6789211</v>
      </c>
      <c r="J11" s="55">
        <v>7245306</v>
      </c>
      <c r="K11" s="55">
        <v>7639191</v>
      </c>
      <c r="L11" s="55">
        <v>8345464</v>
      </c>
      <c r="M11" s="55">
        <v>6789211</v>
      </c>
      <c r="N11" s="112">
        <v>6266356</v>
      </c>
      <c r="O11" s="112">
        <v>3967641</v>
      </c>
      <c r="P11" s="112">
        <v>14296564</v>
      </c>
      <c r="Q11" s="112">
        <v>15510828</v>
      </c>
      <c r="R11" s="112">
        <v>15938072</v>
      </c>
      <c r="S11" s="112">
        <v>17629919</v>
      </c>
      <c r="T11" s="112">
        <v>16547614</v>
      </c>
      <c r="U11" s="113">
        <v>15536859</v>
      </c>
      <c r="V11" s="112">
        <v>15362729</v>
      </c>
      <c r="W11" s="112">
        <v>13146983</v>
      </c>
      <c r="X11" s="112">
        <v>4068686</v>
      </c>
      <c r="Y11" s="114">
        <v>3897621</v>
      </c>
      <c r="Z11" s="112">
        <v>3983605</v>
      </c>
      <c r="AA11" s="112">
        <v>3770000</v>
      </c>
      <c r="AB11" s="112">
        <v>3867146</v>
      </c>
      <c r="AC11" s="114">
        <v>3897621</v>
      </c>
      <c r="AD11" s="114">
        <v>4170001</v>
      </c>
      <c r="AE11" s="114">
        <v>6687198</v>
      </c>
      <c r="AF11" s="114">
        <v>6847883</v>
      </c>
      <c r="AG11" s="114">
        <v>6498498</v>
      </c>
    </row>
    <row r="12" spans="1:33" ht="15.75" thickBot="1" x14ac:dyDescent="0.3">
      <c r="A12" s="8" t="s">
        <v>9</v>
      </c>
      <c r="B12" s="55">
        <v>9166821</v>
      </c>
      <c r="C12" s="55">
        <v>13313248</v>
      </c>
      <c r="D12" s="55">
        <v>10879691</v>
      </c>
      <c r="E12" s="55">
        <v>1853506</v>
      </c>
      <c r="F12" s="55">
        <v>1854862</v>
      </c>
      <c r="G12" s="55">
        <v>17029546</v>
      </c>
      <c r="H12" s="55">
        <v>12013570</v>
      </c>
      <c r="I12" s="55">
        <v>12418423</v>
      </c>
      <c r="J12" s="55">
        <v>12455295</v>
      </c>
      <c r="K12" s="55">
        <v>12775483</v>
      </c>
      <c r="L12" s="55">
        <v>13029145</v>
      </c>
      <c r="M12" s="55">
        <v>12418423</v>
      </c>
      <c r="N12" s="112">
        <v>14693392</v>
      </c>
      <c r="O12" s="112">
        <v>17097315</v>
      </c>
      <c r="P12" s="112">
        <v>7470993</v>
      </c>
      <c r="Q12" s="112">
        <v>6939868</v>
      </c>
      <c r="R12" s="112">
        <v>6986588</v>
      </c>
      <c r="S12" s="112">
        <v>5390959</v>
      </c>
      <c r="T12" s="112">
        <v>2861339</v>
      </c>
      <c r="U12" s="113">
        <v>3961233</v>
      </c>
      <c r="V12" s="112">
        <v>4156763</v>
      </c>
      <c r="W12" s="112">
        <v>23242245</v>
      </c>
      <c r="X12" s="112">
        <v>15404538</v>
      </c>
      <c r="Y12" s="114">
        <v>16503901</v>
      </c>
      <c r="Z12" s="112">
        <v>15883053</v>
      </c>
      <c r="AA12" s="112">
        <v>33360685</v>
      </c>
      <c r="AB12" s="112">
        <v>16290962</v>
      </c>
      <c r="AC12" s="114">
        <v>16503901</v>
      </c>
      <c r="AD12" s="114">
        <v>16750832</v>
      </c>
      <c r="AE12" s="114">
        <v>14707706</v>
      </c>
      <c r="AF12" s="114">
        <v>14849601</v>
      </c>
      <c r="AG12" s="114">
        <v>14998029</v>
      </c>
    </row>
    <row r="13" spans="1:33" ht="15.75" thickBot="1" x14ac:dyDescent="0.3">
      <c r="A13" s="8" t="s">
        <v>10</v>
      </c>
      <c r="B13" s="55">
        <v>2820</v>
      </c>
      <c r="C13" s="55">
        <v>2325</v>
      </c>
      <c r="D13" s="55">
        <v>3489</v>
      </c>
      <c r="E13" s="55">
        <v>4396</v>
      </c>
      <c r="F13" s="55">
        <v>5752</v>
      </c>
      <c r="G13" s="55">
        <v>7977</v>
      </c>
      <c r="H13" s="55">
        <v>9164</v>
      </c>
      <c r="I13" s="55">
        <v>10400</v>
      </c>
      <c r="J13" s="55">
        <v>11669</v>
      </c>
      <c r="K13" s="55">
        <v>14888</v>
      </c>
      <c r="L13" s="55">
        <v>15328</v>
      </c>
      <c r="M13" s="55">
        <v>10400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3">
        <v>0</v>
      </c>
      <c r="V13" s="112"/>
      <c r="W13" s="112">
        <v>0</v>
      </c>
      <c r="X13" s="112">
        <v>0</v>
      </c>
      <c r="Y13" s="114">
        <v>0</v>
      </c>
      <c r="Z13" s="112">
        <v>0</v>
      </c>
      <c r="AA13" s="112">
        <v>0</v>
      </c>
      <c r="AB13" s="112">
        <v>0</v>
      </c>
      <c r="AC13" s="114">
        <v>0</v>
      </c>
      <c r="AD13" s="114">
        <v>0</v>
      </c>
      <c r="AE13" s="114">
        <v>0</v>
      </c>
      <c r="AF13" s="114">
        <v>0</v>
      </c>
      <c r="AG13" s="114">
        <v>0</v>
      </c>
    </row>
    <row r="14" spans="1:33" ht="15.75" thickBot="1" x14ac:dyDescent="0.3">
      <c r="A14" s="8" t="s">
        <v>11</v>
      </c>
      <c r="B14" s="55">
        <v>13456413</v>
      </c>
      <c r="C14" s="55">
        <v>13302764</v>
      </c>
      <c r="D14" s="55">
        <v>12653729</v>
      </c>
      <c r="E14" s="55">
        <v>11721828</v>
      </c>
      <c r="F14" s="55">
        <v>10956462</v>
      </c>
      <c r="G14" s="55">
        <v>10099799</v>
      </c>
      <c r="H14" s="55">
        <v>9280065</v>
      </c>
      <c r="I14" s="55">
        <v>8622479</v>
      </c>
      <c r="J14" s="55">
        <v>7960025</v>
      </c>
      <c r="K14" s="55">
        <v>7328439</v>
      </c>
      <c r="L14" s="55">
        <v>8588368</v>
      </c>
      <c r="M14" s="55">
        <v>8822479</v>
      </c>
      <c r="N14" s="112">
        <v>5634817</v>
      </c>
      <c r="O14" s="112">
        <v>5302548</v>
      </c>
      <c r="P14" s="112">
        <v>4754525</v>
      </c>
      <c r="Q14" s="112">
        <v>4293065</v>
      </c>
      <c r="R14" s="112">
        <v>3918858</v>
      </c>
      <c r="S14" s="112">
        <v>3525219</v>
      </c>
      <c r="T14" s="112">
        <v>8899844</v>
      </c>
      <c r="U14" s="113">
        <v>8451864</v>
      </c>
      <c r="V14" s="112">
        <v>8053915</v>
      </c>
      <c r="W14" s="112">
        <v>7683509</v>
      </c>
      <c r="X14" s="112">
        <v>7262701</v>
      </c>
      <c r="Y14" s="114">
        <v>5464004</v>
      </c>
      <c r="Z14" s="112">
        <v>6429083</v>
      </c>
      <c r="AA14" s="112">
        <v>5077075</v>
      </c>
      <c r="AB14" s="112">
        <v>5792073</v>
      </c>
      <c r="AC14" s="114">
        <v>5464004</v>
      </c>
      <c r="AD14" s="114">
        <v>5179597</v>
      </c>
      <c r="AE14" s="114">
        <v>4990776</v>
      </c>
      <c r="AF14" s="114">
        <v>4761890</v>
      </c>
      <c r="AG14" s="114">
        <v>4551681</v>
      </c>
    </row>
    <row r="15" spans="1:33" ht="15.75" thickBot="1" x14ac:dyDescent="0.3">
      <c r="A15" s="8" t="s">
        <v>12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3">
        <v>0</v>
      </c>
      <c r="V15" s="112">
        <v>0</v>
      </c>
      <c r="W15" s="112">
        <v>0</v>
      </c>
      <c r="X15" s="112">
        <v>0</v>
      </c>
      <c r="Y15" s="114">
        <v>0</v>
      </c>
      <c r="Z15" s="112"/>
      <c r="AA15" s="112">
        <v>0</v>
      </c>
      <c r="AB15" s="112">
        <v>0</v>
      </c>
      <c r="AC15" s="114">
        <v>0</v>
      </c>
      <c r="AD15" s="114">
        <v>0</v>
      </c>
      <c r="AE15" s="114">
        <v>0</v>
      </c>
      <c r="AF15" s="114">
        <v>0</v>
      </c>
      <c r="AG15" s="114" t="s">
        <v>50</v>
      </c>
    </row>
    <row r="16" spans="1:33" ht="15.75" thickBot="1" x14ac:dyDescent="0.3">
      <c r="A16" s="8" t="s">
        <v>13</v>
      </c>
      <c r="B16" s="55">
        <v>25957592</v>
      </c>
      <c r="C16" s="55">
        <v>26616012</v>
      </c>
      <c r="D16" s="55">
        <v>27104366</v>
      </c>
      <c r="E16" s="55">
        <v>26665430</v>
      </c>
      <c r="F16" s="55">
        <v>27210746</v>
      </c>
      <c r="G16" s="55">
        <v>27129345</v>
      </c>
      <c r="H16" s="55">
        <v>27072623</v>
      </c>
      <c r="I16" s="55">
        <v>27830113</v>
      </c>
      <c r="J16" s="55">
        <v>27660626</v>
      </c>
      <c r="K16" s="55">
        <v>27743113</v>
      </c>
      <c r="L16" s="55">
        <v>27960977</v>
      </c>
      <c r="M16" s="55">
        <v>27830113</v>
      </c>
      <c r="N16" s="112">
        <v>26594565</v>
      </c>
      <c r="O16" s="112">
        <v>26267504</v>
      </c>
      <c r="P16" s="112">
        <v>26522082</v>
      </c>
      <c r="Q16" s="112">
        <v>26743761</v>
      </c>
      <c r="R16" s="112">
        <v>26843518</v>
      </c>
      <c r="S16" s="112">
        <v>26546097</v>
      </c>
      <c r="T16" s="112">
        <v>28308797</v>
      </c>
      <c r="U16" s="113">
        <v>27949956</v>
      </c>
      <c r="V16" s="112">
        <v>27573407</v>
      </c>
      <c r="W16" s="112">
        <v>27383087</v>
      </c>
      <c r="X16" s="112">
        <v>26735925</v>
      </c>
      <c r="Y16" s="114">
        <v>25865526</v>
      </c>
      <c r="Z16" s="112">
        <v>26295741</v>
      </c>
      <c r="AA16" s="112">
        <v>25963090</v>
      </c>
      <c r="AB16" s="112">
        <v>25950181</v>
      </c>
      <c r="AC16" s="114">
        <v>25865526</v>
      </c>
      <c r="AD16" s="114">
        <v>26100430</v>
      </c>
      <c r="AE16" s="114">
        <v>26385680</v>
      </c>
      <c r="AF16" s="114">
        <v>26459374</v>
      </c>
      <c r="AG16" s="114">
        <v>26048208</v>
      </c>
    </row>
    <row r="17" spans="1:34" s="82" customFormat="1" ht="12" x14ac:dyDescent="0.2">
      <c r="A17" s="82" t="s">
        <v>34</v>
      </c>
      <c r="B17" s="105">
        <v>70.5</v>
      </c>
      <c r="C17" s="105">
        <v>91.04</v>
      </c>
      <c r="D17" s="105">
        <v>69.58</v>
      </c>
      <c r="E17" s="105">
        <v>39.51</v>
      </c>
      <c r="F17" s="105">
        <v>38.21</v>
      </c>
      <c r="G17" s="105">
        <v>43.67</v>
      </c>
      <c r="H17" s="105">
        <v>40.43</v>
      </c>
      <c r="I17" s="105">
        <v>37.659999999999997</v>
      </c>
      <c r="J17" s="105">
        <v>36.18</v>
      </c>
      <c r="K17" s="105">
        <v>31.37</v>
      </c>
      <c r="L17" s="105">
        <v>29.33</v>
      </c>
      <c r="M17" s="105">
        <v>28.77</v>
      </c>
      <c r="N17" s="106">
        <v>25.63</v>
      </c>
      <c r="O17" s="106">
        <v>25.63</v>
      </c>
      <c r="P17" s="106">
        <v>23.22</v>
      </c>
      <c r="Q17" s="106">
        <v>20.63</v>
      </c>
      <c r="R17" s="107">
        <v>40.25</v>
      </c>
      <c r="S17" s="106">
        <v>28.96</v>
      </c>
      <c r="T17" s="106">
        <v>18.97</v>
      </c>
      <c r="U17" s="108">
        <v>18.88</v>
      </c>
      <c r="V17" s="106">
        <v>15.08</v>
      </c>
      <c r="W17" s="106">
        <v>18.32</v>
      </c>
      <c r="X17" s="106">
        <v>17.579999999999998</v>
      </c>
      <c r="Y17" s="106">
        <v>17.21</v>
      </c>
      <c r="Z17" s="106">
        <v>19.149999999999999</v>
      </c>
      <c r="AA17" s="106">
        <v>18.34</v>
      </c>
      <c r="AB17" s="106">
        <v>19.73</v>
      </c>
      <c r="AC17" s="106">
        <v>11.94</v>
      </c>
      <c r="AD17" s="106">
        <v>10.77</v>
      </c>
      <c r="AE17" s="106">
        <v>11.4</v>
      </c>
      <c r="AF17" s="106">
        <v>9.09</v>
      </c>
      <c r="AG17" s="106">
        <v>8.3699999999999992</v>
      </c>
    </row>
    <row r="18" spans="1:34" s="82" customFormat="1" ht="12" x14ac:dyDescent="0.2">
      <c r="A18" s="82" t="s">
        <v>135</v>
      </c>
      <c r="B18" s="109">
        <f>-0.39</f>
        <v>-0.39</v>
      </c>
      <c r="C18" s="109">
        <f>-0.5</f>
        <v>-0.5</v>
      </c>
      <c r="D18" s="109">
        <f>-0.46</f>
        <v>-0.46</v>
      </c>
      <c r="E18" s="109">
        <f>-0.66</f>
        <v>-0.66</v>
      </c>
      <c r="F18" s="109">
        <f>-0.55</f>
        <v>-0.55000000000000004</v>
      </c>
      <c r="G18" s="109">
        <f>-0.61</f>
        <v>-0.61</v>
      </c>
      <c r="H18" s="109">
        <f>-0.59</f>
        <v>-0.59</v>
      </c>
      <c r="I18" s="109">
        <f>-0.47</f>
        <v>-0.47</v>
      </c>
      <c r="J18" s="109">
        <f>-0.47</f>
        <v>-0.47</v>
      </c>
      <c r="K18" s="109">
        <f>-0.45</f>
        <v>-0.45</v>
      </c>
      <c r="L18" s="109">
        <f>-0.39</f>
        <v>-0.39</v>
      </c>
      <c r="M18" s="109">
        <f>-0.37</f>
        <v>-0.37</v>
      </c>
      <c r="N18" s="109">
        <f>-0.38</f>
        <v>-0.38</v>
      </c>
      <c r="O18" s="109">
        <f>-0.32</f>
        <v>-0.32</v>
      </c>
      <c r="P18" s="109">
        <f>-0.35</f>
        <v>-0.35</v>
      </c>
      <c r="Q18" s="109">
        <f>-0.33</f>
        <v>-0.33</v>
      </c>
      <c r="R18" s="109">
        <f>-0.3</f>
        <v>-0.3</v>
      </c>
      <c r="S18" s="109">
        <f>-0.25</f>
        <v>-0.25</v>
      </c>
      <c r="T18" s="109">
        <f>-0.36</f>
        <v>-0.36</v>
      </c>
      <c r="U18" s="109">
        <f>-0.34</f>
        <v>-0.34</v>
      </c>
      <c r="V18" s="109">
        <f>-0.37</f>
        <v>-0.37</v>
      </c>
      <c r="W18" s="109">
        <f>-0.34</f>
        <v>-0.34</v>
      </c>
      <c r="X18" s="109">
        <f>-0.39</f>
        <v>-0.39</v>
      </c>
      <c r="Y18" s="109">
        <f>-0.43</f>
        <v>-0.43</v>
      </c>
      <c r="Z18" s="109">
        <f>-0.29</f>
        <v>-0.28999999999999998</v>
      </c>
      <c r="AA18" s="109">
        <f>-0.3</f>
        <v>-0.3</v>
      </c>
      <c r="AB18" s="109">
        <f>-0.29</f>
        <v>-0.28999999999999998</v>
      </c>
      <c r="AC18" s="109">
        <f>-0.28</f>
        <v>-0.28000000000000003</v>
      </c>
      <c r="AD18" s="109">
        <f>-0.29</f>
        <v>-0.28999999999999998</v>
      </c>
      <c r="AE18" s="109">
        <f>-0.35</f>
        <v>-0.35</v>
      </c>
      <c r="AF18" s="109">
        <f>-0.5</f>
        <v>-0.5</v>
      </c>
      <c r="AG18" s="109">
        <f>-0.38</f>
        <v>-0.38</v>
      </c>
    </row>
    <row r="19" spans="1:34" x14ac:dyDescent="0.25">
      <c r="A19" s="10" t="s">
        <v>35</v>
      </c>
      <c r="B19" s="1" t="s">
        <v>61</v>
      </c>
      <c r="C19" s="1" t="s">
        <v>62</v>
      </c>
      <c r="D19" s="1" t="s">
        <v>70</v>
      </c>
      <c r="E19" s="1" t="s">
        <v>63</v>
      </c>
      <c r="F19" s="29" t="s">
        <v>64</v>
      </c>
      <c r="G19" s="29" t="s">
        <v>65</v>
      </c>
      <c r="H19" s="29" t="s">
        <v>66</v>
      </c>
      <c r="I19" s="29" t="s">
        <v>67</v>
      </c>
      <c r="J19" s="1" t="s">
        <v>68</v>
      </c>
      <c r="K19" s="1" t="s">
        <v>69</v>
      </c>
      <c r="L19" s="1" t="s">
        <v>71</v>
      </c>
      <c r="M19" s="1" t="s">
        <v>72</v>
      </c>
      <c r="N19" s="69" t="s">
        <v>14</v>
      </c>
      <c r="O19" s="1" t="s">
        <v>15</v>
      </c>
      <c r="P19" s="1" t="s">
        <v>16</v>
      </c>
      <c r="Q19" s="1" t="s">
        <v>17</v>
      </c>
      <c r="R19" s="4" t="s">
        <v>18</v>
      </c>
      <c r="S19" s="4" t="s">
        <v>19</v>
      </c>
      <c r="T19" s="4" t="s">
        <v>20</v>
      </c>
      <c r="U19" s="4" t="s">
        <v>21</v>
      </c>
      <c r="V19" s="5" t="s">
        <v>22</v>
      </c>
      <c r="W19" s="5" t="s">
        <v>23</v>
      </c>
      <c r="X19" s="5" t="s">
        <v>24</v>
      </c>
      <c r="Y19" s="5" t="s">
        <v>25</v>
      </c>
      <c r="Z19" s="1" t="s">
        <v>26</v>
      </c>
      <c r="AA19" s="1" t="s">
        <v>27</v>
      </c>
      <c r="AB19" s="1" t="s">
        <v>28</v>
      </c>
      <c r="AC19" s="1" t="s">
        <v>29</v>
      </c>
      <c r="AD19" s="4" t="s">
        <v>30</v>
      </c>
      <c r="AE19" s="4" t="s">
        <v>31</v>
      </c>
      <c r="AF19" s="4" t="s">
        <v>32</v>
      </c>
      <c r="AG19" s="4" t="s">
        <v>33</v>
      </c>
    </row>
    <row r="20" spans="1:34" ht="15.75" thickBot="1" x14ac:dyDescent="0.3">
      <c r="A20" s="91" t="s">
        <v>36</v>
      </c>
      <c r="B20" s="55">
        <v>0</v>
      </c>
      <c r="C20" s="55">
        <v>0</v>
      </c>
      <c r="D20" s="55">
        <v>80795</v>
      </c>
      <c r="E20" s="55">
        <v>424401</v>
      </c>
      <c r="F20" s="55">
        <v>581667</v>
      </c>
      <c r="G20" s="55">
        <v>701520</v>
      </c>
      <c r="H20" s="55">
        <v>825485</v>
      </c>
      <c r="I20" s="55">
        <v>896280</v>
      </c>
      <c r="J20" s="55">
        <v>1094230</v>
      </c>
      <c r="K20" s="55">
        <v>1450409</v>
      </c>
      <c r="L20" s="55">
        <v>1661953</v>
      </c>
      <c r="M20" s="55">
        <v>1727778</v>
      </c>
      <c r="N20" s="112">
        <v>1484215</v>
      </c>
      <c r="O20" s="117">
        <v>1704646</v>
      </c>
      <c r="P20" s="117">
        <v>1794813</v>
      </c>
      <c r="Q20" s="117">
        <v>16386410</v>
      </c>
      <c r="R20" s="112">
        <v>1521592</v>
      </c>
      <c r="S20" s="117">
        <v>1629015</v>
      </c>
      <c r="T20" s="117">
        <v>1529902</v>
      </c>
      <c r="U20" s="113">
        <v>1723679</v>
      </c>
      <c r="V20" s="117">
        <v>1719395</v>
      </c>
      <c r="W20" s="117">
        <v>1706347</v>
      </c>
      <c r="X20" s="117">
        <v>1573324</v>
      </c>
      <c r="Y20" s="113">
        <v>1553863</v>
      </c>
      <c r="Z20" s="112">
        <v>1545773</v>
      </c>
      <c r="AA20" s="112">
        <v>1567131</v>
      </c>
      <c r="AB20" s="112">
        <v>1552996</v>
      </c>
      <c r="AC20" s="113">
        <v>1556463</v>
      </c>
      <c r="AD20" s="113">
        <v>1678321</v>
      </c>
      <c r="AE20" s="113">
        <v>1665649</v>
      </c>
      <c r="AF20" s="113">
        <v>1785023</v>
      </c>
      <c r="AG20" s="113">
        <v>1672033</v>
      </c>
      <c r="AH20" s="8"/>
    </row>
    <row r="21" spans="1:34" ht="15.75" thickBot="1" x14ac:dyDescent="0.3">
      <c r="A21" s="91" t="s">
        <v>37</v>
      </c>
      <c r="B21" s="55">
        <v>0</v>
      </c>
      <c r="C21" s="55">
        <v>0</v>
      </c>
      <c r="D21" s="55">
        <v>95518</v>
      </c>
      <c r="E21" s="55">
        <v>393219</v>
      </c>
      <c r="F21" s="55">
        <v>435688</v>
      </c>
      <c r="G21" s="55">
        <v>568925</v>
      </c>
      <c r="H21" s="55">
        <v>582558</v>
      </c>
      <c r="I21" s="55">
        <v>539854</v>
      </c>
      <c r="J21" s="55">
        <v>709890</v>
      </c>
      <c r="K21" s="55">
        <v>842375</v>
      </c>
      <c r="L21" s="55">
        <v>949821</v>
      </c>
      <c r="M21" s="55">
        <v>901836</v>
      </c>
      <c r="N21" s="112">
        <v>-768200</v>
      </c>
      <c r="O21" s="117">
        <v>781430</v>
      </c>
      <c r="P21" s="117">
        <v>924693</v>
      </c>
      <c r="Q21" s="117">
        <v>8511364</v>
      </c>
      <c r="R21" s="112">
        <v>-819388</v>
      </c>
      <c r="S21" s="117">
        <v>921895</v>
      </c>
      <c r="T21" s="117">
        <v>818286</v>
      </c>
      <c r="U21" s="113">
        <v>984698</v>
      </c>
      <c r="V21" s="117">
        <v>943163</v>
      </c>
      <c r="W21" s="117">
        <v>875584</v>
      </c>
      <c r="X21" s="117">
        <v>812343</v>
      </c>
      <c r="Y21" s="113">
        <v>760243</v>
      </c>
      <c r="Z21" s="112">
        <v>747117</v>
      </c>
      <c r="AA21" s="112">
        <v>770079</v>
      </c>
      <c r="AB21" s="112">
        <v>742325</v>
      </c>
      <c r="AC21" s="113">
        <v>740193</v>
      </c>
      <c r="AD21" s="113">
        <v>803892</v>
      </c>
      <c r="AE21" s="113">
        <v>716248</v>
      </c>
      <c r="AF21" s="113">
        <v>722843</v>
      </c>
      <c r="AG21" s="113">
        <v>606942</v>
      </c>
      <c r="AH21" s="8"/>
    </row>
    <row r="22" spans="1:34" ht="15.75" thickBot="1" x14ac:dyDescent="0.3">
      <c r="A22" s="91" t="s">
        <v>38</v>
      </c>
      <c r="B22" s="55"/>
      <c r="C22" s="55">
        <v>0</v>
      </c>
      <c r="D22" s="55">
        <v>14723</v>
      </c>
      <c r="E22" s="55">
        <v>31182</v>
      </c>
      <c r="F22" s="55">
        <v>145979</v>
      </c>
      <c r="G22" s="55">
        <v>132595</v>
      </c>
      <c r="H22" s="55">
        <v>242927</v>
      </c>
      <c r="I22" s="55">
        <v>355526</v>
      </c>
      <c r="J22" s="55">
        <v>384340</v>
      </c>
      <c r="K22" s="55">
        <v>608034</v>
      </c>
      <c r="L22" s="55">
        <v>712132</v>
      </c>
      <c r="M22" s="55">
        <v>825542</v>
      </c>
      <c r="N22" s="112">
        <v>716015</v>
      </c>
      <c r="O22" s="117">
        <v>923216</v>
      </c>
      <c r="P22" s="117">
        <v>870120</v>
      </c>
      <c r="Q22" s="117">
        <v>864230</v>
      </c>
      <c r="R22" s="117">
        <v>879233</v>
      </c>
      <c r="S22" s="117">
        <v>707120</v>
      </c>
      <c r="T22" s="117">
        <v>711616</v>
      </c>
      <c r="U22" s="113">
        <v>738981</v>
      </c>
      <c r="V22" s="117">
        <v>776232</v>
      </c>
      <c r="W22" s="117">
        <v>830763</v>
      </c>
      <c r="X22" s="117">
        <v>760981</v>
      </c>
      <c r="Y22" s="113">
        <v>774932</v>
      </c>
      <c r="Z22" s="112">
        <v>798656</v>
      </c>
      <c r="AA22" s="112">
        <v>797052</v>
      </c>
      <c r="AB22" s="112">
        <v>810671</v>
      </c>
      <c r="AC22" s="113">
        <v>816270</v>
      </c>
      <c r="AD22" s="113">
        <v>874429</v>
      </c>
      <c r="AE22" s="113">
        <v>949401</v>
      </c>
      <c r="AF22" s="113">
        <v>1062280</v>
      </c>
      <c r="AG22" s="113">
        <v>1065091</v>
      </c>
      <c r="AH22" s="8"/>
    </row>
    <row r="23" spans="1:34" ht="15.75" thickBot="1" x14ac:dyDescent="0.3">
      <c r="A23" s="91" t="s">
        <v>39</v>
      </c>
      <c r="B23" s="55">
        <v>7520</v>
      </c>
      <c r="C23" s="55">
        <v>30809</v>
      </c>
      <c r="D23" s="55">
        <v>12861</v>
      </c>
      <c r="E23" s="55">
        <v>13660</v>
      </c>
      <c r="F23" s="55">
        <v>859</v>
      </c>
      <c r="G23" s="55">
        <v>222</v>
      </c>
      <c r="H23" s="55">
        <v>8</v>
      </c>
      <c r="I23" s="55">
        <v>243</v>
      </c>
      <c r="J23" s="55">
        <v>149</v>
      </c>
      <c r="K23" s="55">
        <v>90</v>
      </c>
      <c r="L23" s="55">
        <v>48</v>
      </c>
      <c r="M23" s="55">
        <v>368</v>
      </c>
      <c r="N23" s="112">
        <v>13</v>
      </c>
      <c r="O23" s="117">
        <v>7</v>
      </c>
      <c r="P23" s="117">
        <v>12</v>
      </c>
      <c r="Q23" s="117">
        <v>148</v>
      </c>
      <c r="R23" s="112">
        <v>604</v>
      </c>
      <c r="S23" s="117">
        <v>786</v>
      </c>
      <c r="T23" s="117">
        <v>1303</v>
      </c>
      <c r="U23" s="113">
        <v>0</v>
      </c>
      <c r="V23" s="117">
        <v>6456</v>
      </c>
      <c r="W23" s="117">
        <v>9445</v>
      </c>
      <c r="X23" s="117">
        <v>0</v>
      </c>
      <c r="Y23" s="113">
        <v>0</v>
      </c>
      <c r="Z23" s="112">
        <v>2728</v>
      </c>
      <c r="AA23" s="112">
        <v>2395</v>
      </c>
      <c r="AB23" s="112">
        <v>0</v>
      </c>
      <c r="AC23" s="113">
        <v>2411</v>
      </c>
      <c r="AD23" s="113">
        <v>1553</v>
      </c>
      <c r="AE23" s="113">
        <v>1699</v>
      </c>
      <c r="AF23" s="113">
        <v>1756</v>
      </c>
      <c r="AG23" s="113">
        <v>2400</v>
      </c>
      <c r="AH23" s="8"/>
    </row>
    <row r="24" spans="1:34" x14ac:dyDescent="0.25">
      <c r="A24" s="91" t="s">
        <v>40</v>
      </c>
      <c r="B24" s="55">
        <v>7520</v>
      </c>
      <c r="C24" s="55">
        <v>30809</v>
      </c>
      <c r="D24" s="55">
        <v>27584</v>
      </c>
      <c r="E24" s="55">
        <v>44842</v>
      </c>
      <c r="F24" s="55">
        <v>146838</v>
      </c>
      <c r="G24" s="55">
        <v>132817</v>
      </c>
      <c r="H24" s="55">
        <v>242935</v>
      </c>
      <c r="I24" s="55">
        <v>355769</v>
      </c>
      <c r="J24" s="55">
        <v>384489</v>
      </c>
      <c r="K24" s="55">
        <v>608124</v>
      </c>
      <c r="L24" s="55">
        <v>712180</v>
      </c>
      <c r="M24" s="95">
        <v>825942</v>
      </c>
      <c r="N24" s="112">
        <f>N22+N23</f>
        <v>716028</v>
      </c>
      <c r="O24" s="112">
        <f>O22+O23</f>
        <v>923223</v>
      </c>
      <c r="P24" s="112">
        <f>P22+P23</f>
        <v>870132</v>
      </c>
      <c r="Q24" s="112">
        <f t="shared" ref="Q24:T24" si="0">Q22+Q23</f>
        <v>864378</v>
      </c>
      <c r="R24" s="112">
        <f t="shared" si="0"/>
        <v>879837</v>
      </c>
      <c r="S24" s="112">
        <f t="shared" si="0"/>
        <v>707906</v>
      </c>
      <c r="T24" s="112">
        <f t="shared" si="0"/>
        <v>712919</v>
      </c>
      <c r="U24" s="112">
        <f t="shared" ref="U24" si="1">U22+U23</f>
        <v>738981</v>
      </c>
      <c r="V24" s="112">
        <f t="shared" ref="V24" si="2">V22+V23</f>
        <v>782688</v>
      </c>
      <c r="W24" s="112">
        <f t="shared" ref="W24" si="3">W22+W23</f>
        <v>840208</v>
      </c>
      <c r="X24" s="112">
        <f t="shared" ref="X24" si="4">X22+X23</f>
        <v>760981</v>
      </c>
      <c r="Y24" s="112">
        <f t="shared" ref="Y24" si="5">Y22+Y23</f>
        <v>774932</v>
      </c>
      <c r="Z24" s="112">
        <f t="shared" ref="Z24" si="6">Z22+Z23</f>
        <v>801384</v>
      </c>
      <c r="AA24" s="112">
        <f t="shared" ref="AA24" si="7">AA22+AA23</f>
        <v>799447</v>
      </c>
      <c r="AB24" s="112">
        <f t="shared" ref="AB24" si="8">AB22+AB23</f>
        <v>810671</v>
      </c>
      <c r="AC24" s="112">
        <f t="shared" ref="AC24" si="9">AC22+AC23</f>
        <v>818681</v>
      </c>
      <c r="AD24" s="112">
        <f t="shared" ref="AD24" si="10">AD22+AD23</f>
        <v>875982</v>
      </c>
      <c r="AE24" s="112">
        <f t="shared" ref="AE24" si="11">AE22+AE23</f>
        <v>951100</v>
      </c>
      <c r="AF24" s="112">
        <f t="shared" ref="AF24:AG24" si="12">AF22+AF23</f>
        <v>1064036</v>
      </c>
      <c r="AG24" s="112">
        <f t="shared" si="12"/>
        <v>1067491</v>
      </c>
      <c r="AH24" s="8"/>
    </row>
    <row r="25" spans="1:34" ht="15.75" thickBot="1" x14ac:dyDescent="0.3">
      <c r="A25" s="91" t="s">
        <v>56</v>
      </c>
      <c r="B25" s="55">
        <v>77107</v>
      </c>
      <c r="C25" s="55">
        <v>77570</v>
      </c>
      <c r="D25" s="55">
        <v>63637</v>
      </c>
      <c r="E25" s="55">
        <v>90393</v>
      </c>
      <c r="F25" s="55">
        <v>100106</v>
      </c>
      <c r="G25" s="55">
        <v>95130</v>
      </c>
      <c r="H25" s="55">
        <v>88499</v>
      </c>
      <c r="I25" s="55">
        <v>84912</v>
      </c>
      <c r="J25" s="55">
        <v>78776</v>
      </c>
      <c r="K25" s="55">
        <v>81116</v>
      </c>
      <c r="L25" s="55">
        <v>93366</v>
      </c>
      <c r="M25" s="55">
        <v>97886</v>
      </c>
      <c r="N25" s="117">
        <v>79672</v>
      </c>
      <c r="O25" s="117">
        <v>87326</v>
      </c>
      <c r="P25" s="117">
        <v>85778</v>
      </c>
      <c r="Q25" s="117">
        <v>72918</v>
      </c>
      <c r="R25" s="117">
        <v>65838</v>
      </c>
      <c r="S25" s="117">
        <v>94398</v>
      </c>
      <c r="T25" s="117">
        <v>71954</v>
      </c>
      <c r="U25" s="113">
        <v>62225</v>
      </c>
      <c r="V25" s="117">
        <v>74583</v>
      </c>
      <c r="W25" s="117">
        <v>55630</v>
      </c>
      <c r="X25" s="117">
        <v>30897</v>
      </c>
      <c r="Y25" s="113">
        <v>55345</v>
      </c>
      <c r="Z25" s="117">
        <v>54749</v>
      </c>
      <c r="AA25" s="117">
        <v>5622</v>
      </c>
      <c r="AB25" s="117">
        <v>25649</v>
      </c>
      <c r="AC25" s="113">
        <v>56729</v>
      </c>
      <c r="AD25" s="113">
        <v>59137</v>
      </c>
      <c r="AE25" s="113">
        <v>68389</v>
      </c>
      <c r="AF25" s="113">
        <v>73304</v>
      </c>
      <c r="AG25" s="113">
        <v>74219</v>
      </c>
      <c r="AH25" s="8"/>
    </row>
    <row r="26" spans="1:34" ht="15.75" thickBot="1" x14ac:dyDescent="0.3">
      <c r="A26" s="91" t="s">
        <v>55</v>
      </c>
      <c r="B26" s="55">
        <v>40614</v>
      </c>
      <c r="C26" s="55">
        <v>168703</v>
      </c>
      <c r="D26" s="55">
        <v>398149</v>
      </c>
      <c r="E26" s="55">
        <v>413916</v>
      </c>
      <c r="F26" s="55">
        <v>375790</v>
      </c>
      <c r="G26" s="55">
        <v>410656</v>
      </c>
      <c r="H26" s="55">
        <v>453826</v>
      </c>
      <c r="I26" s="55">
        <v>339617</v>
      </c>
      <c r="J26" s="55">
        <v>375886</v>
      </c>
      <c r="K26" s="55">
        <v>469774</v>
      </c>
      <c r="L26" s="55">
        <v>484056</v>
      </c>
      <c r="M26" s="55">
        <v>518950</v>
      </c>
      <c r="N26" s="117">
        <v>482469</v>
      </c>
      <c r="O26" s="117">
        <v>560465</v>
      </c>
      <c r="P26" s="117">
        <v>574594</v>
      </c>
      <c r="Q26" s="117">
        <v>472132</v>
      </c>
      <c r="R26" s="117">
        <v>393567</v>
      </c>
      <c r="S26" s="117">
        <v>333123</v>
      </c>
      <c r="T26" s="117">
        <v>486663</v>
      </c>
      <c r="U26" s="113">
        <v>473374</v>
      </c>
      <c r="V26" s="117">
        <v>494587</v>
      </c>
      <c r="W26" s="117">
        <v>517868</v>
      </c>
      <c r="X26" s="117">
        <v>510153</v>
      </c>
      <c r="Y26" s="113">
        <v>505396</v>
      </c>
      <c r="Z26" s="117">
        <v>444378</v>
      </c>
      <c r="AA26" s="117">
        <v>526545</v>
      </c>
      <c r="AB26" s="117">
        <v>575605</v>
      </c>
      <c r="AC26" s="113">
        <v>484919</v>
      </c>
      <c r="AD26" s="113">
        <v>467415</v>
      </c>
      <c r="AE26" s="113">
        <v>446410</v>
      </c>
      <c r="AF26" s="113">
        <v>547379</v>
      </c>
      <c r="AG26" s="113">
        <v>586048</v>
      </c>
      <c r="AH26" s="8"/>
    </row>
    <row r="27" spans="1:34" ht="15.75" thickBot="1" x14ac:dyDescent="0.3">
      <c r="A27" s="91" t="s">
        <v>42</v>
      </c>
      <c r="B27" s="55">
        <v>1159</v>
      </c>
      <c r="C27" s="55">
        <v>2659</v>
      </c>
      <c r="D27" s="55">
        <v>122731</v>
      </c>
      <c r="E27" s="55">
        <v>310222</v>
      </c>
      <c r="F27" s="55">
        <v>325882</v>
      </c>
      <c r="G27" s="55">
        <v>333270</v>
      </c>
      <c r="H27" s="55">
        <v>368693</v>
      </c>
      <c r="I27" s="55">
        <v>366464</v>
      </c>
      <c r="J27" s="55">
        <v>364963</v>
      </c>
      <c r="K27" s="55">
        <v>371596</v>
      </c>
      <c r="L27" s="55">
        <v>369884</v>
      </c>
      <c r="M27" s="55">
        <v>387776</v>
      </c>
      <c r="N27" s="112">
        <v>-386983</v>
      </c>
      <c r="O27" s="117">
        <v>419224</v>
      </c>
      <c r="P27" s="117">
        <v>431350</v>
      </c>
      <c r="Q27" s="117">
        <v>410328</v>
      </c>
      <c r="R27" s="112">
        <v>434001</v>
      </c>
      <c r="S27" s="117">
        <v>453591</v>
      </c>
      <c r="T27" s="117">
        <v>457785</v>
      </c>
      <c r="U27" s="113">
        <v>465002</v>
      </c>
      <c r="V27" s="117">
        <v>440004</v>
      </c>
      <c r="W27" s="117">
        <v>463381</v>
      </c>
      <c r="X27" s="117">
        <v>458935</v>
      </c>
      <c r="Y27" s="113">
        <v>443728</v>
      </c>
      <c r="Z27" s="112">
        <v>426712</v>
      </c>
      <c r="AA27" s="112">
        <v>400719</v>
      </c>
      <c r="AB27" s="112">
        <v>394312</v>
      </c>
      <c r="AC27" s="113">
        <v>411629</v>
      </c>
      <c r="AD27" s="113">
        <v>406925</v>
      </c>
      <c r="AE27" s="113">
        <v>433662</v>
      </c>
      <c r="AF27" s="113">
        <v>442391</v>
      </c>
      <c r="AG27" s="113">
        <v>487245</v>
      </c>
      <c r="AH27" s="8"/>
    </row>
    <row r="28" spans="1:34" ht="15.75" thickBot="1" x14ac:dyDescent="0.3">
      <c r="A28" s="91" t="s">
        <v>43</v>
      </c>
      <c r="B28" s="55">
        <v>13967</v>
      </c>
      <c r="C28" s="55">
        <v>2488</v>
      </c>
      <c r="D28" s="55">
        <v>62657</v>
      </c>
      <c r="E28" s="55">
        <v>159877</v>
      </c>
      <c r="F28" s="55">
        <v>110426</v>
      </c>
      <c r="G28" s="55">
        <v>150424</v>
      </c>
      <c r="H28" s="55">
        <v>151635</v>
      </c>
      <c r="I28" s="55">
        <v>221337</v>
      </c>
      <c r="J28" s="55">
        <v>227318</v>
      </c>
      <c r="K28" s="55">
        <v>317224</v>
      </c>
      <c r="L28" s="55">
        <v>308659</v>
      </c>
      <c r="M28" s="55">
        <v>342309</v>
      </c>
      <c r="N28" s="112">
        <v>298649</v>
      </c>
      <c r="O28" s="117">
        <v>304385</v>
      </c>
      <c r="P28" s="117">
        <v>262224</v>
      </c>
      <c r="Q28" s="117">
        <v>23856</v>
      </c>
      <c r="R28" s="112">
        <v>229390</v>
      </c>
      <c r="S28" s="117">
        <v>220425</v>
      </c>
      <c r="T28" s="117">
        <v>189517</v>
      </c>
      <c r="U28" s="113">
        <v>177804</v>
      </c>
      <c r="V28" s="117">
        <v>171463</v>
      </c>
      <c r="W28" s="117">
        <v>173735</v>
      </c>
      <c r="X28" s="117">
        <v>184072</v>
      </c>
      <c r="Y28" s="113">
        <v>189633</v>
      </c>
      <c r="Z28" s="112">
        <v>193907</v>
      </c>
      <c r="AA28" s="112">
        <v>195502</v>
      </c>
      <c r="AB28" s="112">
        <v>184062</v>
      </c>
      <c r="AC28" s="113">
        <v>171862</v>
      </c>
      <c r="AD28" s="113">
        <v>199229</v>
      </c>
      <c r="AE28" s="113">
        <v>203803</v>
      </c>
      <c r="AF28" s="113">
        <v>223814</v>
      </c>
      <c r="AG28" s="113">
        <v>211090</v>
      </c>
      <c r="AH28" s="8"/>
    </row>
    <row r="29" spans="1:34" ht="15.75" thickBot="1" x14ac:dyDescent="0.3">
      <c r="A29" s="91" t="s">
        <v>44</v>
      </c>
      <c r="B29" s="55">
        <v>118880</v>
      </c>
      <c r="C29" s="55">
        <v>248932</v>
      </c>
      <c r="D29" s="55">
        <v>599240</v>
      </c>
      <c r="E29" s="55">
        <v>783349</v>
      </c>
      <c r="F29" s="55">
        <v>755799</v>
      </c>
      <c r="G29" s="55">
        <v>706451</v>
      </c>
      <c r="H29" s="55">
        <v>668091</v>
      </c>
      <c r="I29" s="55">
        <v>790993</v>
      </c>
      <c r="J29" s="55">
        <v>815370</v>
      </c>
      <c r="K29" s="55">
        <v>918974</v>
      </c>
      <c r="L29" s="55">
        <v>947306</v>
      </c>
      <c r="M29" s="55">
        <v>1004612</v>
      </c>
      <c r="N29" s="112">
        <v>1176404</v>
      </c>
      <c r="O29" s="117">
        <v>1067015</v>
      </c>
      <c r="P29" s="117">
        <v>1091722</v>
      </c>
      <c r="Q29" s="117">
        <v>1011645</v>
      </c>
      <c r="R29" s="112">
        <v>1076581</v>
      </c>
      <c r="S29" s="117">
        <v>881120</v>
      </c>
      <c r="T29" s="117">
        <v>1016402</v>
      </c>
      <c r="U29" s="113">
        <v>1000601</v>
      </c>
      <c r="V29" s="117">
        <v>1009174</v>
      </c>
      <c r="W29" s="117">
        <v>1036879</v>
      </c>
      <c r="X29" s="117">
        <v>999985</v>
      </c>
      <c r="Y29" s="113">
        <v>927495</v>
      </c>
      <c r="Z29" s="112">
        <v>925839</v>
      </c>
      <c r="AA29" s="112">
        <v>932886</v>
      </c>
      <c r="AB29" s="112">
        <v>944268</v>
      </c>
      <c r="AC29" s="113">
        <v>953299</v>
      </c>
      <c r="AD29" s="113">
        <v>933477</v>
      </c>
      <c r="AE29" s="113">
        <v>948461</v>
      </c>
      <c r="AF29" s="113">
        <v>1063074</v>
      </c>
      <c r="AG29" s="113">
        <v>1147512</v>
      </c>
      <c r="AH29" s="8"/>
    </row>
    <row r="30" spans="1:34" ht="15.75" thickBot="1" x14ac:dyDescent="0.3">
      <c r="A30" s="91" t="s">
        <v>45</v>
      </c>
      <c r="B30" s="118">
        <v>-649036</v>
      </c>
      <c r="C30" s="118">
        <v>-219133</v>
      </c>
      <c r="D30" s="118">
        <v>-929566</v>
      </c>
      <c r="E30" s="118">
        <v>-543587</v>
      </c>
      <c r="F30" s="118">
        <v>-765366</v>
      </c>
      <c r="G30" s="118">
        <v>-856663</v>
      </c>
      <c r="H30" s="118">
        <v>-819734</v>
      </c>
      <c r="I30" s="118">
        <v>-656561</v>
      </c>
      <c r="J30" s="118">
        <v>-662454</v>
      </c>
      <c r="K30" s="118">
        <v>-631586</v>
      </c>
      <c r="L30" s="118">
        <v>-543785</v>
      </c>
      <c r="M30" s="118">
        <v>-520611</v>
      </c>
      <c r="N30" s="118">
        <v>-531745</v>
      </c>
      <c r="O30" s="119">
        <v>-448177</v>
      </c>
      <c r="P30" s="119">
        <v>-483814</v>
      </c>
      <c r="Q30" s="119">
        <v>-470364</v>
      </c>
      <c r="R30" s="118">
        <v>-419988</v>
      </c>
      <c r="S30" s="119">
        <v>-393639</v>
      </c>
      <c r="T30" s="119">
        <v>-493000</v>
      </c>
      <c r="U30" s="119">
        <v>-442785</v>
      </c>
      <c r="V30" s="119">
        <v>-397949</v>
      </c>
      <c r="W30" s="119">
        <v>-370406</v>
      </c>
      <c r="X30" s="119">
        <v>-420808</v>
      </c>
      <c r="Y30" s="119">
        <v>-487392</v>
      </c>
      <c r="Z30" s="120">
        <v>-318362</v>
      </c>
      <c r="AA30" s="120">
        <v>-328941</v>
      </c>
      <c r="AB30" s="120">
        <v>-315805</v>
      </c>
      <c r="AC30" s="119">
        <v>-306458</v>
      </c>
      <c r="AD30" s="119">
        <v>-256724</v>
      </c>
      <c r="AE30" s="119">
        <v>-201164</v>
      </c>
      <c r="AF30" s="119">
        <v>-222952</v>
      </c>
      <c r="AG30" s="119">
        <v>-291111</v>
      </c>
      <c r="AH30" s="8"/>
    </row>
    <row r="31" spans="1:34" ht="15.75" thickBot="1" x14ac:dyDescent="0.3">
      <c r="A31" s="91" t="s">
        <v>46</v>
      </c>
      <c r="B31" s="121">
        <v>0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19">
        <v>0</v>
      </c>
      <c r="V31" s="122">
        <v>0</v>
      </c>
      <c r="W31" s="122">
        <v>0</v>
      </c>
      <c r="X31" s="122">
        <v>0</v>
      </c>
      <c r="Y31" s="119">
        <v>0</v>
      </c>
      <c r="Z31" s="122">
        <v>0</v>
      </c>
      <c r="AA31" s="122">
        <v>0</v>
      </c>
      <c r="AB31" s="122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8"/>
    </row>
    <row r="32" spans="1:34" ht="15.75" thickBot="1" x14ac:dyDescent="0.3">
      <c r="A32" s="91" t="s">
        <v>47</v>
      </c>
      <c r="B32" s="118">
        <v>-649036</v>
      </c>
      <c r="C32" s="118">
        <v>-219133</v>
      </c>
      <c r="D32" s="118">
        <v>-929566</v>
      </c>
      <c r="E32" s="118">
        <v>-543587</v>
      </c>
      <c r="F32" s="118">
        <v>-765366</v>
      </c>
      <c r="G32" s="118">
        <v>-856663</v>
      </c>
      <c r="H32" s="118">
        <v>-819734</v>
      </c>
      <c r="I32" s="118">
        <v>-656561</v>
      </c>
      <c r="J32" s="118">
        <v>-662454</v>
      </c>
      <c r="K32" s="118">
        <v>-631586</v>
      </c>
      <c r="L32" s="118">
        <v>-543785</v>
      </c>
      <c r="M32" s="118">
        <v>-520611</v>
      </c>
      <c r="N32" s="118">
        <v>-531745</v>
      </c>
      <c r="O32" s="119">
        <v>-448177</v>
      </c>
      <c r="P32" s="119">
        <v>-483814</v>
      </c>
      <c r="Q32" s="119">
        <v>-470364</v>
      </c>
      <c r="R32" s="118">
        <v>-419988</v>
      </c>
      <c r="S32" s="119">
        <v>-393639</v>
      </c>
      <c r="T32" s="119">
        <v>-493000</v>
      </c>
      <c r="U32" s="119">
        <v>-442785</v>
      </c>
      <c r="V32" s="119">
        <v>-397949</v>
      </c>
      <c r="W32" s="119">
        <v>-370406</v>
      </c>
      <c r="X32" s="119">
        <v>-420808</v>
      </c>
      <c r="Y32" s="119">
        <v>-487392</v>
      </c>
      <c r="Z32" s="120">
        <v>-318362</v>
      </c>
      <c r="AA32" s="120">
        <v>-328941</v>
      </c>
      <c r="AB32" s="120">
        <v>-315805</v>
      </c>
      <c r="AC32" s="119">
        <v>-306458</v>
      </c>
      <c r="AD32" s="119">
        <v>-256764</v>
      </c>
      <c r="AE32" s="119">
        <v>-201164</v>
      </c>
      <c r="AF32" s="119">
        <v>-222952</v>
      </c>
      <c r="AG32" s="119">
        <v>-291111</v>
      </c>
    </row>
    <row r="33" spans="1:33" x14ac:dyDescent="0.25">
      <c r="A33" s="8" t="s">
        <v>48</v>
      </c>
      <c r="B33" s="8">
        <v>299</v>
      </c>
      <c r="C33" s="8">
        <v>299</v>
      </c>
      <c r="D33" s="8">
        <v>299</v>
      </c>
      <c r="E33" s="8">
        <v>299</v>
      </c>
      <c r="F33" s="8">
        <v>327</v>
      </c>
      <c r="G33" s="8">
        <v>327</v>
      </c>
      <c r="H33" s="8">
        <v>327</v>
      </c>
      <c r="I33" s="8">
        <v>327</v>
      </c>
      <c r="J33" s="8">
        <v>387</v>
      </c>
      <c r="K33" s="8">
        <v>387</v>
      </c>
      <c r="L33" s="8">
        <v>387</v>
      </c>
      <c r="M33" s="8">
        <v>387</v>
      </c>
      <c r="N33" s="24">
        <v>404</v>
      </c>
      <c r="O33" s="24">
        <v>404</v>
      </c>
      <c r="P33" s="24">
        <v>404</v>
      </c>
      <c r="Q33" s="24">
        <v>404</v>
      </c>
      <c r="R33" s="24">
        <v>412</v>
      </c>
      <c r="S33" s="24">
        <v>412</v>
      </c>
      <c r="T33" s="24">
        <v>412</v>
      </c>
      <c r="U33" s="24">
        <v>412</v>
      </c>
      <c r="V33" s="24">
        <v>428</v>
      </c>
      <c r="W33" s="24">
        <v>428</v>
      </c>
      <c r="X33" s="24">
        <v>428</v>
      </c>
      <c r="Y33" s="24">
        <v>428</v>
      </c>
      <c r="Z33" s="24">
        <v>440</v>
      </c>
      <c r="AA33" s="24">
        <v>440</v>
      </c>
      <c r="AB33" s="24">
        <v>440</v>
      </c>
      <c r="AC33" s="24">
        <v>440</v>
      </c>
      <c r="AD33" s="26">
        <v>453</v>
      </c>
      <c r="AE33" s="26">
        <v>453</v>
      </c>
      <c r="AF33" s="26">
        <v>354</v>
      </c>
      <c r="AG33" s="26">
        <v>453</v>
      </c>
    </row>
    <row r="34" spans="1:33" x14ac:dyDescent="0.25">
      <c r="A34" s="8" t="s">
        <v>73</v>
      </c>
      <c r="B34" s="8">
        <v>53</v>
      </c>
      <c r="C34" s="8">
        <v>53</v>
      </c>
      <c r="D34" s="8">
        <v>53</v>
      </c>
      <c r="E34" s="8">
        <v>53</v>
      </c>
      <c r="F34" s="8">
        <v>53</v>
      </c>
      <c r="G34" s="8">
        <v>53</v>
      </c>
      <c r="H34" s="8">
        <v>53</v>
      </c>
      <c r="I34" s="8">
        <v>53</v>
      </c>
      <c r="J34" s="8">
        <v>51</v>
      </c>
      <c r="K34" s="8">
        <v>51</v>
      </c>
      <c r="L34" s="8">
        <v>51</v>
      </c>
      <c r="M34" s="8">
        <v>51</v>
      </c>
      <c r="N34" s="30">
        <v>36</v>
      </c>
      <c r="O34" s="30">
        <v>36</v>
      </c>
      <c r="P34" s="30">
        <v>36</v>
      </c>
      <c r="Q34" s="30">
        <v>36</v>
      </c>
      <c r="R34" s="30">
        <v>40</v>
      </c>
      <c r="S34" s="30">
        <v>40</v>
      </c>
      <c r="T34" s="30">
        <v>40</v>
      </c>
      <c r="U34" s="30">
        <v>40</v>
      </c>
      <c r="V34" s="9">
        <v>48</v>
      </c>
      <c r="W34" s="9">
        <v>48</v>
      </c>
      <c r="X34" s="9">
        <v>48</v>
      </c>
      <c r="Y34" s="46">
        <v>48</v>
      </c>
      <c r="Z34" s="38">
        <v>57</v>
      </c>
      <c r="AA34" s="38">
        <v>57</v>
      </c>
      <c r="AB34" s="38">
        <v>57</v>
      </c>
      <c r="AC34" s="38">
        <v>57</v>
      </c>
      <c r="AD34" s="33">
        <v>49</v>
      </c>
      <c r="AE34" s="33">
        <v>49</v>
      </c>
      <c r="AF34" s="33">
        <v>49</v>
      </c>
      <c r="AG34" s="33">
        <v>49</v>
      </c>
    </row>
    <row r="35" spans="1:33" s="8" customFormat="1" x14ac:dyDescent="0.25">
      <c r="A35" s="8" t="s">
        <v>74</v>
      </c>
      <c r="B35" s="8">
        <v>4.3</v>
      </c>
      <c r="C35" s="8">
        <v>4.3</v>
      </c>
      <c r="D35" s="8">
        <v>4.3</v>
      </c>
      <c r="E35" s="8">
        <v>4.3</v>
      </c>
      <c r="F35" s="8">
        <v>4.3</v>
      </c>
      <c r="G35" s="8">
        <v>4.3</v>
      </c>
      <c r="H35" s="8">
        <v>4.3</v>
      </c>
      <c r="I35" s="8">
        <v>4.3</v>
      </c>
      <c r="J35" s="8">
        <v>4.5</v>
      </c>
      <c r="K35" s="8">
        <v>4.5</v>
      </c>
      <c r="L35" s="8">
        <v>4.5</v>
      </c>
      <c r="M35" s="8">
        <v>4.5</v>
      </c>
      <c r="N35" s="30">
        <v>4.8</v>
      </c>
      <c r="O35" s="30">
        <v>4.8</v>
      </c>
      <c r="P35" s="30">
        <v>4.8</v>
      </c>
      <c r="Q35" s="30">
        <v>4.8</v>
      </c>
      <c r="R35" s="30">
        <v>4.8</v>
      </c>
      <c r="S35" s="30">
        <v>4.8</v>
      </c>
      <c r="T35" s="30">
        <v>4.8</v>
      </c>
      <c r="U35" s="30">
        <v>4.8</v>
      </c>
      <c r="V35" s="35">
        <v>4.7</v>
      </c>
      <c r="W35" s="35">
        <v>4.7</v>
      </c>
      <c r="X35" s="35">
        <v>4.7</v>
      </c>
      <c r="Y35" s="47">
        <v>4.7</v>
      </c>
      <c r="Z35" s="39">
        <v>4.5999999999999996</v>
      </c>
      <c r="AA35" s="39">
        <v>4.5999999999999996</v>
      </c>
      <c r="AB35" s="39">
        <v>4.5999999999999996</v>
      </c>
      <c r="AC35" s="39">
        <v>4.5999999999999996</v>
      </c>
      <c r="AD35" s="40">
        <v>4.7</v>
      </c>
      <c r="AE35" s="40">
        <v>4.7</v>
      </c>
      <c r="AF35" s="40">
        <v>4.7</v>
      </c>
      <c r="AG35" s="40">
        <v>4.7</v>
      </c>
    </row>
    <row r="36" spans="1:33" x14ac:dyDescent="0.25">
      <c r="A36" s="8" t="s">
        <v>57</v>
      </c>
      <c r="B36" s="8">
        <v>34</v>
      </c>
      <c r="C36" s="8">
        <v>34</v>
      </c>
      <c r="D36" s="8">
        <v>34</v>
      </c>
      <c r="E36" s="8">
        <v>34</v>
      </c>
      <c r="F36" s="8">
        <v>29</v>
      </c>
      <c r="G36" s="8">
        <v>29</v>
      </c>
      <c r="H36" s="8">
        <v>29</v>
      </c>
      <c r="I36" s="8">
        <v>29</v>
      </c>
      <c r="J36" s="8">
        <v>10</v>
      </c>
      <c r="K36" s="8">
        <v>10</v>
      </c>
      <c r="L36" s="8">
        <v>10</v>
      </c>
      <c r="M36" s="8">
        <v>10</v>
      </c>
      <c r="N36" s="31">
        <v>4</v>
      </c>
      <c r="O36" s="31">
        <v>4</v>
      </c>
      <c r="P36" s="31">
        <v>4</v>
      </c>
      <c r="Q36" s="31">
        <v>4</v>
      </c>
      <c r="R36" s="31">
        <v>14</v>
      </c>
      <c r="S36" s="31">
        <v>14</v>
      </c>
      <c r="T36" s="31">
        <v>14</v>
      </c>
      <c r="U36" s="31">
        <v>14</v>
      </c>
      <c r="V36" s="9">
        <v>27</v>
      </c>
      <c r="W36" s="9">
        <v>27</v>
      </c>
      <c r="X36" s="9">
        <v>27</v>
      </c>
      <c r="Y36" s="46">
        <v>27</v>
      </c>
      <c r="Z36" s="38">
        <v>35</v>
      </c>
      <c r="AA36" s="38">
        <v>35</v>
      </c>
      <c r="AB36" s="38">
        <v>35</v>
      </c>
      <c r="AC36" s="38">
        <v>35</v>
      </c>
      <c r="AD36" s="33">
        <v>29</v>
      </c>
      <c r="AE36" s="33">
        <v>29</v>
      </c>
      <c r="AF36" s="33">
        <v>29</v>
      </c>
      <c r="AG36" s="33">
        <v>29</v>
      </c>
    </row>
    <row r="37" spans="1:33" ht="15.75" thickBot="1" x14ac:dyDescent="0.3">
      <c r="A37" s="8" t="s">
        <v>58</v>
      </c>
      <c r="B37" s="8">
        <v>63</v>
      </c>
      <c r="C37" s="8">
        <v>63</v>
      </c>
      <c r="D37" s="8">
        <v>63</v>
      </c>
      <c r="E37" s="8">
        <v>63</v>
      </c>
      <c r="F37" s="8">
        <v>71</v>
      </c>
      <c r="G37" s="8">
        <v>71</v>
      </c>
      <c r="H37" s="8">
        <v>71</v>
      </c>
      <c r="I37" s="8">
        <v>71</v>
      </c>
      <c r="J37" s="8">
        <v>66</v>
      </c>
      <c r="K37" s="8">
        <v>66</v>
      </c>
      <c r="L37" s="8">
        <v>66</v>
      </c>
      <c r="M37" s="8">
        <v>66</v>
      </c>
      <c r="N37" s="25">
        <v>50</v>
      </c>
      <c r="O37" s="25">
        <v>50</v>
      </c>
      <c r="P37" s="25">
        <v>50</v>
      </c>
      <c r="Q37" s="25">
        <v>50</v>
      </c>
      <c r="R37" s="33">
        <v>59</v>
      </c>
      <c r="S37" s="33">
        <v>59</v>
      </c>
      <c r="T37" s="33">
        <v>59</v>
      </c>
      <c r="U37" s="33">
        <v>59</v>
      </c>
      <c r="V37" s="9">
        <v>70</v>
      </c>
      <c r="W37" s="9">
        <v>70</v>
      </c>
      <c r="X37" s="9">
        <v>70</v>
      </c>
      <c r="Y37" s="46">
        <v>70</v>
      </c>
      <c r="Z37" s="38">
        <v>64</v>
      </c>
      <c r="AA37" s="38">
        <v>64</v>
      </c>
      <c r="AB37" s="38">
        <v>64</v>
      </c>
      <c r="AC37" s="38">
        <v>64</v>
      </c>
      <c r="AD37" s="33">
        <v>60</v>
      </c>
      <c r="AE37" s="33">
        <v>60</v>
      </c>
      <c r="AF37" s="33">
        <v>60</v>
      </c>
      <c r="AG37" s="33">
        <v>60</v>
      </c>
    </row>
    <row r="38" spans="1:33" ht="15.75" thickBot="1" x14ac:dyDescent="0.3">
      <c r="A38" s="8" t="s">
        <v>59</v>
      </c>
      <c r="B38" s="8">
        <v>73</v>
      </c>
      <c r="C38" s="8">
        <v>73</v>
      </c>
      <c r="D38" s="8">
        <v>73</v>
      </c>
      <c r="E38" s="8">
        <v>73</v>
      </c>
      <c r="F38" s="8">
        <v>53</v>
      </c>
      <c r="G38" s="8">
        <v>53</v>
      </c>
      <c r="H38" s="8">
        <v>53</v>
      </c>
      <c r="I38" s="8">
        <v>53</v>
      </c>
      <c r="J38" s="8">
        <v>22</v>
      </c>
      <c r="K38" s="8">
        <v>22</v>
      </c>
      <c r="L38" s="8">
        <v>22</v>
      </c>
      <c r="M38" s="8">
        <v>22</v>
      </c>
      <c r="N38" s="32">
        <v>16</v>
      </c>
      <c r="O38" s="32">
        <v>16</v>
      </c>
      <c r="P38" s="32">
        <v>16</v>
      </c>
      <c r="Q38" s="32">
        <v>16</v>
      </c>
      <c r="R38" s="34">
        <v>22</v>
      </c>
      <c r="S38" s="34">
        <v>22</v>
      </c>
      <c r="T38" s="34">
        <v>22</v>
      </c>
      <c r="U38" s="34">
        <v>22</v>
      </c>
      <c r="V38" s="9">
        <v>27</v>
      </c>
      <c r="W38" s="9">
        <v>27</v>
      </c>
      <c r="X38" s="9">
        <v>27</v>
      </c>
      <c r="Y38" s="46">
        <v>27</v>
      </c>
      <c r="Z38" s="38">
        <v>30</v>
      </c>
      <c r="AA38" s="38">
        <v>30</v>
      </c>
      <c r="AB38" s="38">
        <v>30</v>
      </c>
      <c r="AC38" s="38">
        <v>30</v>
      </c>
      <c r="AD38" s="33">
        <v>41</v>
      </c>
      <c r="AE38" s="33">
        <v>41</v>
      </c>
      <c r="AF38" s="33">
        <v>41</v>
      </c>
      <c r="AG38" s="33">
        <v>41</v>
      </c>
    </row>
    <row r="39" spans="1:33" ht="15.75" thickBot="1" x14ac:dyDescent="0.3">
      <c r="A39" s="8" t="s">
        <v>60</v>
      </c>
      <c r="B39" s="8">
        <v>51</v>
      </c>
      <c r="C39" s="8">
        <v>51</v>
      </c>
      <c r="D39" s="8">
        <v>51</v>
      </c>
      <c r="E39" s="8">
        <v>51</v>
      </c>
      <c r="F39" s="8">
        <v>44</v>
      </c>
      <c r="G39" s="8">
        <v>44</v>
      </c>
      <c r="H39" s="8">
        <v>44</v>
      </c>
      <c r="I39" s="8">
        <v>44</v>
      </c>
      <c r="J39" s="8">
        <v>42</v>
      </c>
      <c r="K39" s="8">
        <v>42</v>
      </c>
      <c r="L39" s="8">
        <v>42</v>
      </c>
      <c r="M39" s="8">
        <v>42</v>
      </c>
      <c r="N39" s="25">
        <v>43</v>
      </c>
      <c r="O39" s="25">
        <v>43</v>
      </c>
      <c r="P39" s="25">
        <v>43</v>
      </c>
      <c r="Q39" s="25">
        <v>43</v>
      </c>
      <c r="R39" s="33">
        <v>35</v>
      </c>
      <c r="S39" s="33">
        <v>35</v>
      </c>
      <c r="T39" s="33">
        <v>35</v>
      </c>
      <c r="U39" s="33">
        <v>35</v>
      </c>
      <c r="V39" s="9">
        <v>41</v>
      </c>
      <c r="W39" s="9">
        <v>41</v>
      </c>
      <c r="X39" s="9">
        <v>41</v>
      </c>
      <c r="Y39" s="46">
        <v>41</v>
      </c>
      <c r="Z39" s="38">
        <v>45</v>
      </c>
      <c r="AA39" s="38">
        <v>45</v>
      </c>
      <c r="AB39" s="38">
        <v>45</v>
      </c>
      <c r="AC39" s="38">
        <v>45</v>
      </c>
      <c r="AD39" s="33">
        <v>42</v>
      </c>
      <c r="AE39" s="33">
        <v>42</v>
      </c>
      <c r="AF39" s="33">
        <v>42</v>
      </c>
      <c r="AG39" s="33">
        <v>42</v>
      </c>
    </row>
    <row r="40" spans="1:33" ht="15.75" thickBot="1" x14ac:dyDescent="0.3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  <c r="O40" s="14"/>
      <c r="P40" s="14"/>
      <c r="Q40" s="14"/>
      <c r="V40" s="8"/>
      <c r="W40" s="8"/>
      <c r="X40" s="8"/>
      <c r="Y40" s="8"/>
      <c r="Z40" s="8"/>
      <c r="AA40" s="8"/>
    </row>
    <row r="41" spans="1:33" ht="15.75" thickBot="1" x14ac:dyDescent="0.3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6"/>
      <c r="O41" s="16"/>
      <c r="P41" s="16"/>
      <c r="Q41" s="16"/>
    </row>
    <row r="42" spans="1:33" ht="15.75" thickBot="1" x14ac:dyDescent="0.3">
      <c r="A42" s="13" t="s">
        <v>79</v>
      </c>
      <c r="B42" s="110">
        <f>B24-B26+B25+B27</f>
        <v>45172</v>
      </c>
      <c r="C42" s="110">
        <f t="shared" ref="C42:AG42" si="13">C24-C26+C25+C27</f>
        <v>-57665</v>
      </c>
      <c r="D42" s="110">
        <f t="shared" si="13"/>
        <v>-184197</v>
      </c>
      <c r="E42" s="110">
        <f t="shared" si="13"/>
        <v>31541</v>
      </c>
      <c r="F42" s="110">
        <f t="shared" si="13"/>
        <v>197036</v>
      </c>
      <c r="G42" s="110">
        <f t="shared" si="13"/>
        <v>150561</v>
      </c>
      <c r="H42" s="110">
        <f t="shared" si="13"/>
        <v>246301</v>
      </c>
      <c r="I42" s="110">
        <f t="shared" si="13"/>
        <v>467528</v>
      </c>
      <c r="J42" s="110">
        <f t="shared" si="13"/>
        <v>452342</v>
      </c>
      <c r="K42" s="110">
        <f t="shared" si="13"/>
        <v>591062</v>
      </c>
      <c r="L42" s="110">
        <f t="shared" si="13"/>
        <v>691374</v>
      </c>
      <c r="M42" s="110">
        <f t="shared" si="13"/>
        <v>792654</v>
      </c>
      <c r="N42" s="110">
        <f t="shared" si="13"/>
        <v>-73752</v>
      </c>
      <c r="O42" s="110">
        <f t="shared" si="13"/>
        <v>869308</v>
      </c>
      <c r="P42" s="110">
        <f t="shared" si="13"/>
        <v>812666</v>
      </c>
      <c r="Q42" s="110">
        <f t="shared" si="13"/>
        <v>875492</v>
      </c>
      <c r="R42" s="110">
        <f t="shared" si="13"/>
        <v>986109</v>
      </c>
      <c r="S42" s="110">
        <f t="shared" si="13"/>
        <v>922772</v>
      </c>
      <c r="T42" s="110">
        <f t="shared" si="13"/>
        <v>755995</v>
      </c>
      <c r="U42" s="110">
        <f t="shared" si="13"/>
        <v>792834</v>
      </c>
      <c r="V42" s="110">
        <f t="shared" si="13"/>
        <v>802688</v>
      </c>
      <c r="W42" s="110">
        <f t="shared" si="13"/>
        <v>841351</v>
      </c>
      <c r="X42" s="110">
        <f t="shared" si="13"/>
        <v>740660</v>
      </c>
      <c r="Y42" s="110">
        <f t="shared" si="13"/>
        <v>768609</v>
      </c>
      <c r="Z42" s="110">
        <f t="shared" si="13"/>
        <v>838467</v>
      </c>
      <c r="AA42" s="110">
        <f t="shared" si="13"/>
        <v>679243</v>
      </c>
      <c r="AB42" s="110">
        <f t="shared" si="13"/>
        <v>655027</v>
      </c>
      <c r="AC42" s="110">
        <f t="shared" si="13"/>
        <v>802120</v>
      </c>
      <c r="AD42" s="110">
        <f t="shared" si="13"/>
        <v>874629</v>
      </c>
      <c r="AE42" s="110">
        <f t="shared" si="13"/>
        <v>1006741</v>
      </c>
      <c r="AF42" s="110">
        <f t="shared" si="13"/>
        <v>1032352</v>
      </c>
      <c r="AG42" s="110">
        <f t="shared" si="13"/>
        <v>1042907</v>
      </c>
    </row>
    <row r="43" spans="1:33" ht="15.75" thickBot="1" x14ac:dyDescent="0.3">
      <c r="A43" s="13" t="s">
        <v>80</v>
      </c>
      <c r="B43" s="52">
        <f>B42/B25</f>
        <v>0.58583526787451201</v>
      </c>
      <c r="C43" s="52">
        <f t="shared" ref="C43:AG43" si="14">C42/C25</f>
        <v>-0.74339306432899321</v>
      </c>
      <c r="D43" s="52">
        <f t="shared" si="14"/>
        <v>-2.8944953407608782</v>
      </c>
      <c r="E43" s="52">
        <f t="shared" si="14"/>
        <v>0.34893188631863087</v>
      </c>
      <c r="F43" s="52">
        <f t="shared" si="14"/>
        <v>1.9682736299522505</v>
      </c>
      <c r="G43" s="52">
        <f t="shared" si="14"/>
        <v>1.5826868495742668</v>
      </c>
      <c r="H43" s="52">
        <f t="shared" si="14"/>
        <v>2.7830935942779016</v>
      </c>
      <c r="I43" s="52">
        <f t="shared" si="14"/>
        <v>5.5060297719992466</v>
      </c>
      <c r="J43" s="52">
        <f t="shared" si="14"/>
        <v>5.7421295826139938</v>
      </c>
      <c r="K43" s="52">
        <f t="shared" si="14"/>
        <v>7.2866265594950441</v>
      </c>
      <c r="L43" s="52">
        <f t="shared" si="14"/>
        <v>7.4049868260394573</v>
      </c>
      <c r="M43" s="52">
        <f t="shared" si="14"/>
        <v>8.097725926077274</v>
      </c>
      <c r="N43" s="52">
        <f t="shared" si="14"/>
        <v>-0.92569535093884925</v>
      </c>
      <c r="O43" s="52">
        <f t="shared" si="14"/>
        <v>9.9547442915053939</v>
      </c>
      <c r="P43" s="52">
        <f t="shared" si="14"/>
        <v>9.4740609480286313</v>
      </c>
      <c r="Q43" s="52">
        <f t="shared" si="14"/>
        <v>12.00652788063304</v>
      </c>
      <c r="R43" s="52">
        <f t="shared" si="14"/>
        <v>14.977809167957714</v>
      </c>
      <c r="S43" s="52">
        <f t="shared" si="14"/>
        <v>9.7753342231826945</v>
      </c>
      <c r="T43" s="52">
        <f t="shared" si="14"/>
        <v>10.506643133112822</v>
      </c>
      <c r="U43" s="52">
        <f t="shared" si="14"/>
        <v>12.741406187223784</v>
      </c>
      <c r="V43" s="52">
        <f t="shared" si="14"/>
        <v>10.762345306571202</v>
      </c>
      <c r="W43" s="52">
        <f t="shared" si="14"/>
        <v>15.124051770627359</v>
      </c>
      <c r="X43" s="52">
        <f t="shared" si="14"/>
        <v>23.971906657604297</v>
      </c>
      <c r="Y43" s="52">
        <f t="shared" si="14"/>
        <v>13.887595988797543</v>
      </c>
      <c r="Z43" s="52">
        <f t="shared" si="14"/>
        <v>15.314745474803193</v>
      </c>
      <c r="AA43" s="52">
        <f t="shared" si="14"/>
        <v>120.81874777659196</v>
      </c>
      <c r="AB43" s="52">
        <f t="shared" si="14"/>
        <v>25.538110647588599</v>
      </c>
      <c r="AC43" s="52">
        <f t="shared" si="14"/>
        <v>14.139505367625024</v>
      </c>
      <c r="AD43" s="52">
        <f t="shared" si="14"/>
        <v>14.789877741515465</v>
      </c>
      <c r="AE43" s="52">
        <f t="shared" si="14"/>
        <v>14.720803053122578</v>
      </c>
      <c r="AF43" s="52">
        <f t="shared" si="14"/>
        <v>14.083160536942049</v>
      </c>
      <c r="AG43" s="52">
        <f t="shared" si="14"/>
        <v>14.051752246729274</v>
      </c>
    </row>
    <row r="44" spans="1:33" ht="15.75" thickBot="1" x14ac:dyDescent="0.3">
      <c r="A44" s="13" t="s">
        <v>81</v>
      </c>
      <c r="B44" s="52">
        <f>B42/B10</f>
        <v>1.7402230530474475E-3</v>
      </c>
      <c r="C44" s="52">
        <f t="shared" ref="C44:AG44" si="15">C42/C10</f>
        <v>-2.1665529757050003E-3</v>
      </c>
      <c r="D44" s="52">
        <f t="shared" si="15"/>
        <v>-6.7958424115140709E-3</v>
      </c>
      <c r="E44" s="52">
        <f t="shared" si="15"/>
        <v>1.1828423543141812E-3</v>
      </c>
      <c r="F44" s="52">
        <f t="shared" si="15"/>
        <v>7.2411098174228663E-3</v>
      </c>
      <c r="G44" s="52">
        <f t="shared" si="15"/>
        <v>5.5497469621916783E-3</v>
      </c>
      <c r="H44" s="52">
        <f t="shared" si="15"/>
        <v>9.0977885667007583E-3</v>
      </c>
      <c r="I44" s="52">
        <f t="shared" si="15"/>
        <v>1.6799356869301969E-2</v>
      </c>
      <c r="J44" s="52">
        <f t="shared" si="15"/>
        <v>1.6353281375482968E-2</v>
      </c>
      <c r="K44" s="52">
        <f t="shared" si="15"/>
        <v>2.1304818965341057E-2</v>
      </c>
      <c r="L44" s="52">
        <f t="shared" si="15"/>
        <v>2.4726389210219656E-2</v>
      </c>
      <c r="M44" s="52">
        <f t="shared" si="15"/>
        <v>2.8481882197172539E-2</v>
      </c>
      <c r="N44" s="52">
        <f t="shared" si="15"/>
        <v>-2.773198207979713E-3</v>
      </c>
      <c r="O44" s="52">
        <f t="shared" si="15"/>
        <v>3.3094427243639139E-2</v>
      </c>
      <c r="P44" s="52">
        <f t="shared" si="15"/>
        <v>3.0641108793796806E-2</v>
      </c>
      <c r="Q44" s="52">
        <f t="shared" si="15"/>
        <v>3.2736308105654997E-2</v>
      </c>
      <c r="R44" s="52">
        <f t="shared" si="15"/>
        <v>4.08509750890865E-2</v>
      </c>
      <c r="S44" s="52">
        <f t="shared" si="15"/>
        <v>3.4761117613636386E-2</v>
      </c>
      <c r="T44" s="52">
        <f t="shared" si="15"/>
        <v>2.670530294876183E-2</v>
      </c>
      <c r="U44" s="52">
        <f t="shared" si="15"/>
        <v>2.8366198501350057E-2</v>
      </c>
      <c r="V44" s="52">
        <f t="shared" si="15"/>
        <v>2.9110947370413819E-2</v>
      </c>
      <c r="W44" s="52">
        <f t="shared" si="15"/>
        <v>3.072520640203933E-2</v>
      </c>
      <c r="X44" s="52">
        <f t="shared" si="15"/>
        <v>2.7702800632482323E-2</v>
      </c>
      <c r="Y44" s="52">
        <f t="shared" si="15"/>
        <v>2.9715575859543705E-2</v>
      </c>
      <c r="Z44" s="52">
        <f t="shared" si="15"/>
        <v>3.1886038123055745E-2</v>
      </c>
      <c r="AA44" s="52">
        <f t="shared" si="15"/>
        <v>2.6161870563172564E-2</v>
      </c>
      <c r="AB44" s="52">
        <f t="shared" si="15"/>
        <v>2.5241712186901511E-2</v>
      </c>
      <c r="AC44" s="52">
        <f t="shared" si="15"/>
        <v>3.1011161342707663E-2</v>
      </c>
      <c r="AD44" s="52">
        <f t="shared" si="15"/>
        <v>3.3510137572446128E-2</v>
      </c>
      <c r="AE44" s="52">
        <f t="shared" si="15"/>
        <v>3.8154824889864505E-2</v>
      </c>
      <c r="AF44" s="52">
        <f t="shared" si="15"/>
        <v>3.901649373866517E-2</v>
      </c>
      <c r="AG44" s="52">
        <f t="shared" si="15"/>
        <v>4.0037571874426067E-2</v>
      </c>
    </row>
    <row r="45" spans="1:33" ht="15.75" thickBot="1" x14ac:dyDescent="0.3">
      <c r="A45" s="13" t="s">
        <v>82</v>
      </c>
      <c r="B45" s="52">
        <f>(B42-B25)/B42</f>
        <v>-0.70696449127778271</v>
      </c>
      <c r="C45" s="52">
        <f t="shared" ref="C45:AG45" si="16">(C42-C25)/C42</f>
        <v>2.3451833868030869</v>
      </c>
      <c r="D45" s="52">
        <f t="shared" si="16"/>
        <v>1.3454833683501903</v>
      </c>
      <c r="E45" s="52">
        <f t="shared" si="16"/>
        <v>-1.8658888430931169</v>
      </c>
      <c r="F45" s="52">
        <f t="shared" si="16"/>
        <v>0.49194055908564932</v>
      </c>
      <c r="G45" s="52">
        <f t="shared" si="16"/>
        <v>0.36816307011775956</v>
      </c>
      <c r="H45" s="52">
        <f t="shared" si="16"/>
        <v>0.64068761393579399</v>
      </c>
      <c r="I45" s="52">
        <f t="shared" si="16"/>
        <v>0.81838093119556476</v>
      </c>
      <c r="J45" s="52">
        <f t="shared" si="16"/>
        <v>0.8258485835938294</v>
      </c>
      <c r="K45" s="52">
        <f t="shared" si="16"/>
        <v>0.86276228212945516</v>
      </c>
      <c r="L45" s="52">
        <f t="shared" si="16"/>
        <v>0.86495587048399269</v>
      </c>
      <c r="M45" s="52">
        <f t="shared" si="16"/>
        <v>0.87650853966547826</v>
      </c>
      <c r="N45" s="52">
        <f t="shared" si="16"/>
        <v>2.0802690096539753</v>
      </c>
      <c r="O45" s="52">
        <f t="shared" si="16"/>
        <v>0.89954538552503827</v>
      </c>
      <c r="P45" s="52">
        <f t="shared" si="16"/>
        <v>0.89444864187747486</v>
      </c>
      <c r="Q45" s="52">
        <f t="shared" si="16"/>
        <v>0.91671197452403907</v>
      </c>
      <c r="R45" s="52">
        <f t="shared" si="16"/>
        <v>0.93323456129089177</v>
      </c>
      <c r="S45" s="52">
        <f t="shared" si="16"/>
        <v>0.89770170746403233</v>
      </c>
      <c r="T45" s="52">
        <f t="shared" si="16"/>
        <v>0.90482212183943012</v>
      </c>
      <c r="U45" s="52">
        <f t="shared" si="16"/>
        <v>0.92151572712572871</v>
      </c>
      <c r="V45" s="52">
        <f t="shared" si="16"/>
        <v>0.90708344960931275</v>
      </c>
      <c r="W45" s="52">
        <f t="shared" si="16"/>
        <v>0.93388015227889432</v>
      </c>
      <c r="X45" s="52">
        <f t="shared" si="16"/>
        <v>0.95828450301082813</v>
      </c>
      <c r="Y45" s="52">
        <f t="shared" si="16"/>
        <v>0.92799329698195054</v>
      </c>
      <c r="Z45" s="52">
        <f t="shared" si="16"/>
        <v>0.93470345284906864</v>
      </c>
      <c r="AA45" s="52">
        <f t="shared" si="16"/>
        <v>0.99172313884721663</v>
      </c>
      <c r="AB45" s="52">
        <f t="shared" si="16"/>
        <v>0.96084283548617078</v>
      </c>
      <c r="AC45" s="52">
        <f t="shared" si="16"/>
        <v>0.92927616815439085</v>
      </c>
      <c r="AD45" s="52">
        <f t="shared" si="16"/>
        <v>0.93238618888694524</v>
      </c>
      <c r="AE45" s="52">
        <f t="shared" si="16"/>
        <v>0.93206892338744518</v>
      </c>
      <c r="AF45" s="52">
        <f t="shared" si="16"/>
        <v>0.92899321161774273</v>
      </c>
      <c r="AG45" s="52">
        <f t="shared" si="16"/>
        <v>0.92883449818631958</v>
      </c>
    </row>
    <row r="46" spans="1:33" ht="15.75" thickBot="1" x14ac:dyDescent="0.3">
      <c r="A46" s="13" t="s">
        <v>83</v>
      </c>
      <c r="B46" s="52">
        <f>SUM(B43:B45)</f>
        <v>-0.11938900035022326</v>
      </c>
      <c r="C46" s="52">
        <f t="shared" ref="C46:AG46" si="17">SUM(C43:C45)</f>
        <v>1.5996237694983888</v>
      </c>
      <c r="D46" s="52">
        <f t="shared" si="17"/>
        <v>-1.5558078148222021</v>
      </c>
      <c r="E46" s="52">
        <f t="shared" si="17"/>
        <v>-1.5157741144201717</v>
      </c>
      <c r="F46" s="52">
        <f t="shared" si="17"/>
        <v>2.4674552988553224</v>
      </c>
      <c r="G46" s="52">
        <f t="shared" si="17"/>
        <v>1.9563996666542181</v>
      </c>
      <c r="H46" s="52">
        <f t="shared" si="17"/>
        <v>3.4328789967803965</v>
      </c>
      <c r="I46" s="52">
        <f t="shared" si="17"/>
        <v>6.341210060064113</v>
      </c>
      <c r="J46" s="52">
        <f t="shared" si="17"/>
        <v>6.5843314475833061</v>
      </c>
      <c r="K46" s="52">
        <f t="shared" si="17"/>
        <v>8.1706936605898406</v>
      </c>
      <c r="L46" s="52">
        <f t="shared" si="17"/>
        <v>8.2946690857336698</v>
      </c>
      <c r="M46" s="52">
        <f t="shared" si="17"/>
        <v>9.0027163479399253</v>
      </c>
      <c r="N46" s="52">
        <f t="shared" si="17"/>
        <v>1.1518004605071464</v>
      </c>
      <c r="O46" s="52">
        <f t="shared" si="17"/>
        <v>10.887384104274071</v>
      </c>
      <c r="P46" s="52">
        <f t="shared" si="17"/>
        <v>10.399150698699902</v>
      </c>
      <c r="Q46" s="52">
        <f t="shared" si="17"/>
        <v>12.955976163262735</v>
      </c>
      <c r="R46" s="52">
        <f t="shared" si="17"/>
        <v>15.951894704337692</v>
      </c>
      <c r="S46" s="52">
        <f t="shared" si="17"/>
        <v>10.707797048260362</v>
      </c>
      <c r="T46" s="52">
        <f t="shared" si="17"/>
        <v>11.438170557901014</v>
      </c>
      <c r="U46" s="52">
        <f t="shared" si="17"/>
        <v>13.691288112850863</v>
      </c>
      <c r="V46" s="52">
        <f t="shared" si="17"/>
        <v>11.69853970355093</v>
      </c>
      <c r="W46" s="52">
        <f t="shared" si="17"/>
        <v>16.088657129308292</v>
      </c>
      <c r="X46" s="52">
        <f t="shared" si="17"/>
        <v>24.957893961247606</v>
      </c>
      <c r="Y46" s="52">
        <f t="shared" si="17"/>
        <v>14.845304861639038</v>
      </c>
      <c r="Z46" s="52">
        <f t="shared" si="17"/>
        <v>16.281334965775315</v>
      </c>
      <c r="AA46" s="52">
        <f t="shared" si="17"/>
        <v>121.83663278600235</v>
      </c>
      <c r="AB46" s="52">
        <f t="shared" si="17"/>
        <v>26.524195195261672</v>
      </c>
      <c r="AC46" s="52">
        <f t="shared" si="17"/>
        <v>15.099792697122123</v>
      </c>
      <c r="AD46" s="52">
        <f t="shared" si="17"/>
        <v>15.755774067974855</v>
      </c>
      <c r="AE46" s="52">
        <f t="shared" si="17"/>
        <v>15.691026801399889</v>
      </c>
      <c r="AF46" s="52">
        <f t="shared" si="17"/>
        <v>15.051170242298456</v>
      </c>
      <c r="AG46" s="52">
        <f t="shared" si="17"/>
        <v>15.02062431679002</v>
      </c>
    </row>
    <row r="47" spans="1:33" ht="15.75" thickBot="1" x14ac:dyDescent="0.3">
      <c r="A47" s="13" t="s">
        <v>85</v>
      </c>
      <c r="B47" s="52">
        <f>B32/B14</f>
        <v>-4.8232467300163867E-2</v>
      </c>
      <c r="C47" s="52">
        <f t="shared" ref="C47:AG47" si="18">C32/C14</f>
        <v>-1.6472742055711129E-2</v>
      </c>
      <c r="D47" s="52">
        <f t="shared" si="18"/>
        <v>-7.346182299304814E-2</v>
      </c>
      <c r="E47" s="52">
        <f t="shared" si="18"/>
        <v>-4.6373910280887928E-2</v>
      </c>
      <c r="F47" s="52">
        <f t="shared" si="18"/>
        <v>-6.9855214210572725E-2</v>
      </c>
      <c r="G47" s="52">
        <f t="shared" si="18"/>
        <v>-8.4819806810016718E-2</v>
      </c>
      <c r="H47" s="52">
        <f t="shared" si="18"/>
        <v>-8.833278646216379E-2</v>
      </c>
      <c r="I47" s="52">
        <f t="shared" si="18"/>
        <v>-7.614527098297369E-2</v>
      </c>
      <c r="J47" s="52">
        <f t="shared" si="18"/>
        <v>-8.3222602944086232E-2</v>
      </c>
      <c r="K47" s="52">
        <f t="shared" si="18"/>
        <v>-8.6182882875875749E-2</v>
      </c>
      <c r="L47" s="52">
        <f t="shared" si="18"/>
        <v>-6.3316453137546039E-2</v>
      </c>
      <c r="M47" s="52">
        <f t="shared" si="18"/>
        <v>-5.9009604896764274E-2</v>
      </c>
      <c r="N47" s="52">
        <f t="shared" si="18"/>
        <v>-9.4367749653626723E-2</v>
      </c>
      <c r="O47" s="52">
        <f t="shared" si="18"/>
        <v>-8.4521064212902924E-2</v>
      </c>
      <c r="P47" s="52">
        <f t="shared" si="18"/>
        <v>-0.1017586404530421</v>
      </c>
      <c r="Q47" s="52">
        <f t="shared" si="18"/>
        <v>-0.1095636800281384</v>
      </c>
      <c r="R47" s="52">
        <f t="shared" si="18"/>
        <v>-0.10717101767913</v>
      </c>
      <c r="S47" s="52">
        <f t="shared" si="18"/>
        <v>-0.11166370089347641</v>
      </c>
      <c r="T47" s="52">
        <f t="shared" si="18"/>
        <v>-5.5394229381998158E-2</v>
      </c>
      <c r="U47" s="52">
        <f t="shared" si="18"/>
        <v>-5.2389035128818921E-2</v>
      </c>
      <c r="V47" s="52">
        <f t="shared" si="18"/>
        <v>-4.9410628247256151E-2</v>
      </c>
      <c r="W47" s="52">
        <f t="shared" si="18"/>
        <v>-4.820792166704041E-2</v>
      </c>
      <c r="X47" s="52">
        <f t="shared" si="18"/>
        <v>-5.7940978156749125E-2</v>
      </c>
      <c r="Y47" s="52">
        <f t="shared" si="18"/>
        <v>-8.920052035100999E-2</v>
      </c>
      <c r="Z47" s="52">
        <f t="shared" si="18"/>
        <v>-4.9519037162842665E-2</v>
      </c>
      <c r="AA47" s="52">
        <f t="shared" si="18"/>
        <v>-6.4789470315092842E-2</v>
      </c>
      <c r="AB47" s="52">
        <f t="shared" si="18"/>
        <v>-5.4523656728773962E-2</v>
      </c>
      <c r="AC47" s="52">
        <f t="shared" si="18"/>
        <v>-5.608670857488391E-2</v>
      </c>
      <c r="AD47" s="52">
        <f t="shared" si="18"/>
        <v>-4.9572196446943655E-2</v>
      </c>
      <c r="AE47" s="52">
        <f t="shared" si="18"/>
        <v>-4.0307158646270637E-2</v>
      </c>
      <c r="AF47" s="52">
        <f t="shared" si="18"/>
        <v>-4.6820065142201939E-2</v>
      </c>
      <c r="AG47" s="52">
        <f t="shared" si="18"/>
        <v>-6.3956810681592147E-2</v>
      </c>
    </row>
    <row r="48" spans="1:33" ht="15.75" thickBot="1" x14ac:dyDescent="0.3">
      <c r="A48" s="13" t="s">
        <v>86</v>
      </c>
      <c r="B48" s="52">
        <f>B32/B10</f>
        <v>-2.5003706044844223E-2</v>
      </c>
      <c r="C48" s="52">
        <f t="shared" ref="C48:AG48" si="19">C32/C10</f>
        <v>-8.2331267358911626E-3</v>
      </c>
      <c r="D48" s="52">
        <f t="shared" si="19"/>
        <v>-3.429580311895139E-2</v>
      </c>
      <c r="E48" s="52">
        <f t="shared" si="19"/>
        <v>-2.038545787560898E-2</v>
      </c>
      <c r="F48" s="52">
        <f t="shared" si="19"/>
        <v>-2.8127343513478096E-2</v>
      </c>
      <c r="G48" s="52">
        <f t="shared" si="19"/>
        <v>-3.1576987944235295E-2</v>
      </c>
      <c r="H48" s="52">
        <f t="shared" si="19"/>
        <v>-3.0279075655136926E-2</v>
      </c>
      <c r="I48" s="52">
        <f t="shared" si="19"/>
        <v>-2.359174754338942E-2</v>
      </c>
      <c r="J48" s="52">
        <f t="shared" si="19"/>
        <v>-2.3949349519421577E-2</v>
      </c>
      <c r="K48" s="52">
        <f t="shared" si="19"/>
        <v>-2.2765505803187983E-2</v>
      </c>
      <c r="L48" s="52">
        <f t="shared" si="19"/>
        <v>-1.9447997113977811E-2</v>
      </c>
      <c r="M48" s="52">
        <f t="shared" si="19"/>
        <v>-1.8706751208663795E-2</v>
      </c>
      <c r="N48" s="52">
        <f t="shared" si="19"/>
        <v>-1.9994498875992143E-2</v>
      </c>
      <c r="O48" s="52">
        <f t="shared" si="19"/>
        <v>-1.7062032235723654E-2</v>
      </c>
      <c r="P48" s="52">
        <f t="shared" si="19"/>
        <v>-1.8241931383818209E-2</v>
      </c>
      <c r="Q48" s="52">
        <f t="shared" si="19"/>
        <v>-1.7587803001978666E-2</v>
      </c>
      <c r="R48" s="52">
        <f t="shared" si="19"/>
        <v>-1.7398603324495832E-2</v>
      </c>
      <c r="S48" s="52">
        <f t="shared" si="19"/>
        <v>-1.4828507558003724E-2</v>
      </c>
      <c r="T48" s="52">
        <f t="shared" si="19"/>
        <v>-1.7415081255483938E-2</v>
      </c>
      <c r="U48" s="52">
        <f t="shared" si="19"/>
        <v>-1.5842064295199607E-2</v>
      </c>
      <c r="V48" s="52">
        <f t="shared" si="19"/>
        <v>-1.4432347805260336E-2</v>
      </c>
      <c r="W48" s="52">
        <f t="shared" si="19"/>
        <v>-1.3526816753713707E-2</v>
      </c>
      <c r="X48" s="52">
        <f t="shared" si="19"/>
        <v>-1.5739421770520377E-2</v>
      </c>
      <c r="Y48" s="52">
        <f t="shared" si="19"/>
        <v>-1.8843305177710285E-2</v>
      </c>
      <c r="Z48" s="52">
        <f t="shared" si="19"/>
        <v>-1.2106979605556657E-2</v>
      </c>
      <c r="AA48" s="52">
        <f t="shared" si="19"/>
        <v>-1.2669562829385871E-2</v>
      </c>
      <c r="AB48" s="52">
        <f t="shared" si="19"/>
        <v>-1.2169664635479806E-2</v>
      </c>
      <c r="AC48" s="52">
        <f t="shared" si="19"/>
        <v>-1.1848125570692048E-2</v>
      </c>
      <c r="AD48" s="52">
        <f t="shared" si="19"/>
        <v>-9.8375390750267341E-3</v>
      </c>
      <c r="AE48" s="52">
        <f t="shared" si="19"/>
        <v>-7.6239839185497588E-3</v>
      </c>
      <c r="AF48" s="52">
        <f t="shared" si="19"/>
        <v>-8.4262008617437441E-3</v>
      </c>
      <c r="AG48" s="52">
        <f t="shared" si="19"/>
        <v>-1.1175855168232687E-2</v>
      </c>
    </row>
    <row r="49" spans="1:33" ht="15.75" thickBot="1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6"/>
      <c r="O49" s="16"/>
      <c r="P49" s="16"/>
      <c r="Q49" s="16"/>
    </row>
    <row r="50" spans="1:33" ht="15.75" thickBot="1" x14ac:dyDescent="0.3">
      <c r="A50" s="13" t="s">
        <v>131</v>
      </c>
      <c r="B50" s="111">
        <f t="shared" ref="B50:E50" si="20">B42+B9</f>
        <v>286964</v>
      </c>
      <c r="C50" s="111">
        <f t="shared" si="20"/>
        <v>1090386</v>
      </c>
      <c r="D50" s="111">
        <f t="shared" si="20"/>
        <v>24787</v>
      </c>
      <c r="E50" s="111">
        <f t="shared" si="20"/>
        <v>595591</v>
      </c>
      <c r="F50" s="111">
        <f>F42+F9</f>
        <v>659146</v>
      </c>
      <c r="G50" s="111">
        <f>G42+G9</f>
        <v>725372</v>
      </c>
      <c r="H50" s="111">
        <f t="shared" ref="H50:K50" si="21">H42+H9</f>
        <v>798497</v>
      </c>
      <c r="I50" s="111">
        <f t="shared" si="21"/>
        <v>906789</v>
      </c>
      <c r="J50" s="111">
        <f t="shared" si="21"/>
        <v>698134</v>
      </c>
      <c r="K50" s="111">
        <f t="shared" si="21"/>
        <v>1075726</v>
      </c>
      <c r="L50" s="111">
        <f t="shared" ref="L50:M50" si="22">L42+L9</f>
        <v>932778</v>
      </c>
      <c r="M50" s="111">
        <f t="shared" si="22"/>
        <v>1045435</v>
      </c>
      <c r="N50" s="111">
        <f t="shared" ref="N50:O50" si="23">N42+N9</f>
        <v>171712</v>
      </c>
      <c r="O50" s="111">
        <f t="shared" si="23"/>
        <v>1037872</v>
      </c>
      <c r="P50" s="111">
        <f t="shared" ref="P50:AG50" si="24">P42+P9</f>
        <v>1055091</v>
      </c>
      <c r="Q50" s="111">
        <f t="shared" si="24"/>
        <v>1120889</v>
      </c>
      <c r="R50" s="111">
        <f t="shared" si="24"/>
        <v>1230181</v>
      </c>
      <c r="S50" s="111">
        <f t="shared" si="24"/>
        <v>1165292</v>
      </c>
      <c r="T50" s="111">
        <f t="shared" si="24"/>
        <v>1002519</v>
      </c>
      <c r="U50" s="111">
        <f t="shared" si="24"/>
        <v>1038143</v>
      </c>
      <c r="V50" s="111">
        <f t="shared" si="24"/>
        <v>1025241</v>
      </c>
      <c r="W50" s="111">
        <f t="shared" si="24"/>
        <v>1085431</v>
      </c>
      <c r="X50" s="111">
        <f t="shared" si="24"/>
        <v>986828</v>
      </c>
      <c r="Y50" s="111">
        <f t="shared" si="24"/>
        <v>979035</v>
      </c>
      <c r="Z50" s="111">
        <f t="shared" si="24"/>
        <v>1045728</v>
      </c>
      <c r="AA50" s="111">
        <f t="shared" si="24"/>
        <v>934291</v>
      </c>
      <c r="AB50" s="111">
        <f t="shared" si="24"/>
        <v>852421</v>
      </c>
      <c r="AC50" s="111">
        <f t="shared" si="24"/>
        <v>1024533</v>
      </c>
      <c r="AD50" s="111">
        <f t="shared" si="24"/>
        <v>1106946</v>
      </c>
      <c r="AE50" s="111">
        <f t="shared" si="24"/>
        <v>1049496</v>
      </c>
      <c r="AF50" s="111">
        <f t="shared" si="24"/>
        <v>1274492</v>
      </c>
      <c r="AG50" s="111">
        <f t="shared" si="24"/>
        <v>1181949</v>
      </c>
    </row>
    <row r="51" spans="1:33" ht="15.75" thickBot="1" x14ac:dyDescent="0.3">
      <c r="A51" s="13" t="s">
        <v>132</v>
      </c>
      <c r="B51" s="81">
        <f t="shared" ref="B51:E51" si="25">SUM(B11:B13)/B10</f>
        <v>0.48170874247503387</v>
      </c>
      <c r="C51" s="81">
        <f t="shared" si="25"/>
        <v>0.65608983795168108</v>
      </c>
      <c r="D51" s="81">
        <f t="shared" si="25"/>
        <v>0.53327666841570842</v>
      </c>
      <c r="E51" s="81">
        <f t="shared" si="25"/>
        <v>0.56057592170836923</v>
      </c>
      <c r="F51" s="81">
        <f t="shared" ref="F51:K51" si="26">SUM(F11:F13)/F10</f>
        <v>0.59755936129057252</v>
      </c>
      <c r="G51" s="81">
        <f t="shared" si="26"/>
        <v>1.1872745914064642</v>
      </c>
      <c r="H51" s="81">
        <f t="shared" si="26"/>
        <v>0.65755438621518125</v>
      </c>
      <c r="I51" s="81">
        <f t="shared" si="26"/>
        <v>0.6905481842635709</v>
      </c>
      <c r="J51" s="81">
        <f t="shared" si="26"/>
        <v>0.71264728426609003</v>
      </c>
      <c r="K51" s="81">
        <f t="shared" si="26"/>
        <v>0.7363831881447479</v>
      </c>
      <c r="L51" s="81">
        <f t="shared" ref="L51:M51" si="27">SUM(L11:L13)/L10</f>
        <v>0.76499247504835044</v>
      </c>
      <c r="M51" s="81">
        <f t="shared" si="27"/>
        <v>0.6905481842635709</v>
      </c>
      <c r="N51" s="81">
        <f t="shared" ref="N51:O51" si="28">SUM(N11:N13)/N10</f>
        <v>0.78812148271648741</v>
      </c>
      <c r="O51" s="81">
        <f t="shared" si="28"/>
        <v>0.8019397655749857</v>
      </c>
      <c r="P51" s="81">
        <f t="shared" ref="P51:AG51" si="29">SUM(P11:P13)/P10</f>
        <v>0.82073334212600657</v>
      </c>
      <c r="Q51" s="81">
        <f t="shared" si="29"/>
        <v>0.83947414875566684</v>
      </c>
      <c r="R51" s="81">
        <f t="shared" si="29"/>
        <v>0.94968681412072875</v>
      </c>
      <c r="S51" s="81">
        <f t="shared" si="29"/>
        <v>0.86720386804885108</v>
      </c>
      <c r="T51" s="81">
        <f t="shared" si="29"/>
        <v>0.68561560563665069</v>
      </c>
      <c r="U51" s="81">
        <f t="shared" si="29"/>
        <v>0.69760725204719465</v>
      </c>
      <c r="V51" s="81">
        <f t="shared" si="29"/>
        <v>0.70791005260974826</v>
      </c>
      <c r="W51" s="81">
        <f t="shared" si="29"/>
        <v>1.3288942915749418</v>
      </c>
      <c r="X51" s="81">
        <f t="shared" si="29"/>
        <v>0.72835422750475254</v>
      </c>
      <c r="Y51" s="81">
        <f t="shared" si="29"/>
        <v>0.78875341641998697</v>
      </c>
      <c r="Z51" s="81">
        <f t="shared" si="29"/>
        <v>0.75550858216925698</v>
      </c>
      <c r="AA51" s="81">
        <f t="shared" si="29"/>
        <v>1.4301335087618616</v>
      </c>
      <c r="AB51" s="81">
        <f t="shared" si="29"/>
        <v>0.77680028513095922</v>
      </c>
      <c r="AC51" s="81">
        <f t="shared" si="29"/>
        <v>0.78875341641998697</v>
      </c>
      <c r="AD51" s="81">
        <f t="shared" si="29"/>
        <v>0.8015512771245531</v>
      </c>
      <c r="AE51" s="81">
        <f t="shared" si="29"/>
        <v>0.81085285654946171</v>
      </c>
      <c r="AF51" s="81">
        <f t="shared" si="29"/>
        <v>0.82003013374390488</v>
      </c>
      <c r="AG51" s="81">
        <f t="shared" si="29"/>
        <v>0.82525934221655484</v>
      </c>
    </row>
    <row r="52" spans="1:33" ht="15.75" thickBot="1" x14ac:dyDescent="0.3">
      <c r="A52" s="13" t="s">
        <v>133</v>
      </c>
      <c r="B52" s="83">
        <f>B58*B17</f>
        <v>17845244.82</v>
      </c>
      <c r="C52" s="83">
        <f t="shared" ref="C52:K52" si="30">C58*C17</f>
        <v>9974934.1600000001</v>
      </c>
      <c r="D52" s="83">
        <f t="shared" si="30"/>
        <v>29752433.048800003</v>
      </c>
      <c r="E52" s="83">
        <f t="shared" si="30"/>
        <v>14174900.7642</v>
      </c>
      <c r="F52" s="83">
        <f t="shared" si="30"/>
        <v>16084549.173000002</v>
      </c>
      <c r="G52" s="83">
        <f t="shared" si="30"/>
        <v>22820388.658100002</v>
      </c>
      <c r="H52" s="83">
        <f t="shared" si="30"/>
        <v>19553688.915800001</v>
      </c>
      <c r="I52" s="83">
        <f t="shared" si="30"/>
        <v>11621261.012199998</v>
      </c>
      <c r="J52" s="83">
        <f t="shared" si="30"/>
        <v>11264765.2884</v>
      </c>
      <c r="K52" s="83">
        <f t="shared" si="30"/>
        <v>8915783.7690000013</v>
      </c>
      <c r="L52" s="83">
        <f t="shared" ref="L52:M52" si="31">L58*L17</f>
        <v>6220193.4794999994</v>
      </c>
      <c r="M52" s="83">
        <f t="shared" si="31"/>
        <v>5541852.0339000002</v>
      </c>
      <c r="N52" s="83">
        <f t="shared" ref="N52:O52" si="32">N58*N17</f>
        <v>5178877.2529999996</v>
      </c>
      <c r="O52" s="83">
        <f t="shared" si="32"/>
        <v>3675768.4832000001</v>
      </c>
      <c r="P52" s="83">
        <f t="shared" ref="P52:AG52" si="33">P58*P17</f>
        <v>3931956.3779999996</v>
      </c>
      <c r="Q52" s="83">
        <f t="shared" si="33"/>
        <v>3202191.0755999996</v>
      </c>
      <c r="R52" s="83">
        <f t="shared" si="33"/>
        <v>5071355.0999999996</v>
      </c>
      <c r="S52" s="83">
        <f t="shared" si="33"/>
        <v>2849946.36</v>
      </c>
      <c r="T52" s="83">
        <f t="shared" si="33"/>
        <v>3366795.5999999996</v>
      </c>
      <c r="U52" s="83">
        <f t="shared" si="33"/>
        <v>2842325.4720000001</v>
      </c>
      <c r="V52" s="83">
        <f t="shared" si="33"/>
        <v>2220396.2404</v>
      </c>
      <c r="W52" s="83">
        <f t="shared" si="33"/>
        <v>2307184.8928</v>
      </c>
      <c r="X52" s="83">
        <f t="shared" si="33"/>
        <v>2885143.8095999998</v>
      </c>
      <c r="Y52" s="83">
        <f t="shared" si="33"/>
        <v>3606847.0176000004</v>
      </c>
      <c r="Z52" s="83">
        <f t="shared" si="33"/>
        <v>1768023.3669999999</v>
      </c>
      <c r="AA52" s="83">
        <f t="shared" si="33"/>
        <v>1809833.382</v>
      </c>
      <c r="AB52" s="83">
        <f t="shared" si="33"/>
        <v>1806941.4685</v>
      </c>
      <c r="AC52" s="83">
        <f t="shared" si="33"/>
        <v>1024550.3856</v>
      </c>
      <c r="AD52" s="83">
        <f t="shared" si="33"/>
        <v>801951.00119999994</v>
      </c>
      <c r="AE52" s="83">
        <f t="shared" si="33"/>
        <v>802644.36</v>
      </c>
      <c r="AF52" s="83">
        <f t="shared" si="33"/>
        <v>1013316.84</v>
      </c>
      <c r="AG52" s="83">
        <f t="shared" si="33"/>
        <v>925907.64659999998</v>
      </c>
    </row>
    <row r="53" spans="1:33" ht="15.75" thickBot="1" x14ac:dyDescent="0.3">
      <c r="A53" s="13" t="s">
        <v>134</v>
      </c>
      <c r="B53" s="81">
        <f t="shared" ref="B53:E53" si="34">LN(B52)</f>
        <v>16.69724763406138</v>
      </c>
      <c r="C53" s="81">
        <f t="shared" si="34"/>
        <v>16.115585920217164</v>
      </c>
      <c r="D53" s="81">
        <f t="shared" si="34"/>
        <v>17.208421469764794</v>
      </c>
      <c r="E53" s="81">
        <f t="shared" si="34"/>
        <v>16.46698340679168</v>
      </c>
      <c r="F53" s="81">
        <f t="shared" ref="F53:I53" si="35">LN(F52)</f>
        <v>16.593369690472613</v>
      </c>
      <c r="G53" s="81">
        <f t="shared" si="35"/>
        <v>16.943164933721182</v>
      </c>
      <c r="H53" s="81">
        <f t="shared" si="35"/>
        <v>16.788674517940944</v>
      </c>
      <c r="I53" s="81">
        <f t="shared" si="35"/>
        <v>16.268346824343453</v>
      </c>
      <c r="J53" s="81">
        <f t="shared" ref="J53:K53" si="36">LN(J52)</f>
        <v>16.237190296158719</v>
      </c>
      <c r="K53" s="81">
        <f t="shared" si="36"/>
        <v>16.003333721174968</v>
      </c>
      <c r="L53" s="81">
        <f t="shared" ref="L53:M53" si="37">LN(L52)</f>
        <v>15.643311570260519</v>
      </c>
      <c r="M53" s="81">
        <f t="shared" si="37"/>
        <v>15.527839305004969</v>
      </c>
      <c r="N53" s="81">
        <f t="shared" ref="N53:O53" si="38">LN(N52)</f>
        <v>15.460098844217647</v>
      </c>
      <c r="O53" s="81">
        <f t="shared" si="38"/>
        <v>15.117272779843232</v>
      </c>
      <c r="P53" s="81">
        <f t="shared" ref="P53:AG53" si="39">LN(P52)</f>
        <v>15.18464766608796</v>
      </c>
      <c r="Q53" s="81">
        <f t="shared" si="39"/>
        <v>14.979345844587241</v>
      </c>
      <c r="R53" s="81">
        <f t="shared" si="39"/>
        <v>15.439118617961444</v>
      </c>
      <c r="S53" s="81">
        <f t="shared" si="39"/>
        <v>14.862810731015083</v>
      </c>
      <c r="T53" s="81">
        <f t="shared" si="39"/>
        <v>15.029471989439768</v>
      </c>
      <c r="U53" s="81">
        <f t="shared" si="39"/>
        <v>14.860133103249508</v>
      </c>
      <c r="V53" s="81">
        <f t="shared" si="39"/>
        <v>14.613196224588279</v>
      </c>
      <c r="W53" s="81">
        <f t="shared" si="39"/>
        <v>14.651538678201122</v>
      </c>
      <c r="X53" s="81">
        <f t="shared" si="39"/>
        <v>14.875085304030353</v>
      </c>
      <c r="Y53" s="81">
        <f t="shared" si="39"/>
        <v>15.098344546344149</v>
      </c>
      <c r="Z53" s="81">
        <f t="shared" si="39"/>
        <v>14.385372738721346</v>
      </c>
      <c r="AA53" s="81">
        <f t="shared" si="39"/>
        <v>14.408745344861119</v>
      </c>
      <c r="AB53" s="81">
        <f t="shared" si="39"/>
        <v>14.407146177516822</v>
      </c>
      <c r="AC53" s="81">
        <f t="shared" si="39"/>
        <v>13.839764426125262</v>
      </c>
      <c r="AD53" s="81">
        <f t="shared" si="39"/>
        <v>13.594802789221632</v>
      </c>
      <c r="AE53" s="81">
        <f t="shared" si="39"/>
        <v>13.595667005658896</v>
      </c>
      <c r="AF53" s="81">
        <f t="shared" si="39"/>
        <v>13.828739508266045</v>
      </c>
      <c r="AG53" s="81">
        <f t="shared" si="39"/>
        <v>13.738529774961277</v>
      </c>
    </row>
    <row r="54" spans="1:33" ht="15.75" thickBot="1" x14ac:dyDescent="0.3">
      <c r="A54" s="13" t="str">
        <f>A43</f>
        <v>HCE</v>
      </c>
      <c r="B54" s="52">
        <f t="shared" ref="B54:C54" si="40">B50/B25</f>
        <v>3.7216335741242688</v>
      </c>
      <c r="C54" s="52">
        <f t="shared" si="40"/>
        <v>14.056800309397962</v>
      </c>
      <c r="D54" s="52">
        <f t="shared" ref="D54:E54" si="41">D50/D25</f>
        <v>0.3895061049389506</v>
      </c>
      <c r="E54" s="52">
        <f t="shared" si="41"/>
        <v>6.5889062206144278</v>
      </c>
      <c r="F54" s="52">
        <f t="shared" ref="F54:G54" si="42">F50/F25</f>
        <v>6.5844804507222348</v>
      </c>
      <c r="G54" s="52">
        <f t="shared" si="42"/>
        <v>7.6250604436034903</v>
      </c>
      <c r="H54" s="52">
        <f t="shared" ref="H54:I54" si="43">H50/H25</f>
        <v>9.0226669227900889</v>
      </c>
      <c r="I54" s="52">
        <f t="shared" si="43"/>
        <v>10.679161955907292</v>
      </c>
      <c r="J54" s="52">
        <f t="shared" ref="J54:K54" si="44">J50/J25</f>
        <v>8.8622676957448974</v>
      </c>
      <c r="K54" s="52">
        <f t="shared" si="44"/>
        <v>13.261576014596381</v>
      </c>
      <c r="L54" s="52">
        <f t="shared" ref="L54:M54" si="45">L50/L25</f>
        <v>9.9905533063427807</v>
      </c>
      <c r="M54" s="52">
        <f t="shared" si="45"/>
        <v>10.680127903888197</v>
      </c>
      <c r="N54" s="52">
        <f t="shared" ref="N54:O54" si="46">N50/N25</f>
        <v>2.1552364695250525</v>
      </c>
      <c r="O54" s="52">
        <f t="shared" si="46"/>
        <v>11.885028513844674</v>
      </c>
      <c r="P54" s="52">
        <f t="shared" ref="P54:AG54" si="47">P50/P25</f>
        <v>12.300251812819138</v>
      </c>
      <c r="Q54" s="52">
        <f t="shared" si="47"/>
        <v>15.371910913629009</v>
      </c>
      <c r="R54" s="52">
        <f t="shared" si="47"/>
        <v>18.684969166742611</v>
      </c>
      <c r="S54" s="52">
        <f t="shared" si="47"/>
        <v>12.344456450348524</v>
      </c>
      <c r="T54" s="52">
        <f t="shared" si="47"/>
        <v>13.932776496094727</v>
      </c>
      <c r="U54" s="52">
        <f t="shared" si="47"/>
        <v>16.683696263559664</v>
      </c>
      <c r="V54" s="52">
        <f t="shared" si="47"/>
        <v>13.746309480712762</v>
      </c>
      <c r="W54" s="52">
        <f t="shared" si="47"/>
        <v>19.511612439331294</v>
      </c>
      <c r="X54" s="52">
        <f t="shared" si="47"/>
        <v>31.939282130951224</v>
      </c>
      <c r="Y54" s="52">
        <f t="shared" si="47"/>
        <v>17.68967386394435</v>
      </c>
      <c r="Z54" s="52">
        <f t="shared" si="47"/>
        <v>19.100403660340827</v>
      </c>
      <c r="AA54" s="52">
        <f t="shared" si="47"/>
        <v>166.18480967627178</v>
      </c>
      <c r="AB54" s="52">
        <f t="shared" si="47"/>
        <v>33.234083200124758</v>
      </c>
      <c r="AC54" s="52">
        <f t="shared" si="47"/>
        <v>18.060127976872501</v>
      </c>
      <c r="AD54" s="52">
        <f t="shared" si="47"/>
        <v>18.718332008725501</v>
      </c>
      <c r="AE54" s="52">
        <f t="shared" si="47"/>
        <v>15.345976692158096</v>
      </c>
      <c r="AF54" s="52">
        <f t="shared" si="47"/>
        <v>17.386390920004366</v>
      </c>
      <c r="AG54" s="52">
        <f t="shared" si="47"/>
        <v>15.925153936323582</v>
      </c>
    </row>
    <row r="55" spans="1:33" ht="15.75" thickBot="1" x14ac:dyDescent="0.3">
      <c r="A55" s="13" t="str">
        <f t="shared" ref="A55:A56" si="48">A44</f>
        <v>CEE</v>
      </c>
      <c r="B55" s="52">
        <f t="shared" ref="B55:C55" si="49">B50/B10</f>
        <v>1.1055108655687323E-2</v>
      </c>
      <c r="C55" s="52">
        <f t="shared" si="49"/>
        <v>4.0967294424123342E-2</v>
      </c>
      <c r="D55" s="52">
        <f t="shared" ref="D55:E55" si="50">D50/D10</f>
        <v>9.1450211379229458E-4</v>
      </c>
      <c r="E55" s="52">
        <f t="shared" si="50"/>
        <v>2.2335698318009498E-2</v>
      </c>
      <c r="F55" s="52">
        <f t="shared" ref="F55:G55" si="51">F50/F10</f>
        <v>2.4223738665599244E-2</v>
      </c>
      <c r="G55" s="52">
        <f t="shared" si="51"/>
        <v>2.6737541949501547E-2</v>
      </c>
      <c r="H55" s="52">
        <f t="shared" ref="H55:I55" si="52">H50/H10</f>
        <v>2.9494630054871299E-2</v>
      </c>
      <c r="I55" s="52">
        <f t="shared" si="52"/>
        <v>3.2583015383372681E-2</v>
      </c>
      <c r="J55" s="52">
        <f t="shared" ref="J55:K55" si="53">J50/J10</f>
        <v>2.5239269711394095E-2</v>
      </c>
      <c r="K55" s="52">
        <f t="shared" si="53"/>
        <v>3.8774523969245987E-2</v>
      </c>
      <c r="L55" s="52">
        <f t="shared" ref="L55:M55" si="54">L50/L10</f>
        <v>3.3359993107536977E-2</v>
      </c>
      <c r="M55" s="52">
        <f t="shared" si="54"/>
        <v>3.7564885201867487E-2</v>
      </c>
      <c r="N55" s="52">
        <f t="shared" ref="N55:O55" si="55">N50/N10</f>
        <v>6.4566575915041289E-3</v>
      </c>
      <c r="O55" s="52">
        <f t="shared" si="55"/>
        <v>3.9511633842332333E-2</v>
      </c>
      <c r="P55" s="52">
        <f t="shared" ref="P55:AG55" si="56">P50/P10</f>
        <v>3.9781605380754044E-2</v>
      </c>
      <c r="Q55" s="52">
        <f t="shared" si="56"/>
        <v>4.191216785103636E-2</v>
      </c>
      <c r="R55" s="52">
        <f t="shared" si="56"/>
        <v>5.0962006620026305E-2</v>
      </c>
      <c r="S55" s="52">
        <f t="shared" si="56"/>
        <v>4.3896923905612187E-2</v>
      </c>
      <c r="T55" s="52">
        <f t="shared" si="56"/>
        <v>3.5413691369506096E-2</v>
      </c>
      <c r="U55" s="52">
        <f t="shared" si="56"/>
        <v>3.7142920725885938E-2</v>
      </c>
      <c r="V55" s="52">
        <f t="shared" si="56"/>
        <v>3.7182238669309163E-2</v>
      </c>
      <c r="W55" s="52">
        <f t="shared" si="56"/>
        <v>3.9638737590104431E-2</v>
      </c>
      <c r="X55" s="52">
        <f t="shared" si="56"/>
        <v>3.6910187322862401E-2</v>
      </c>
      <c r="Y55" s="52">
        <f t="shared" si="56"/>
        <v>3.7850960386423223E-2</v>
      </c>
      <c r="Z55" s="52">
        <f t="shared" si="56"/>
        <v>3.9767960902870166E-2</v>
      </c>
      <c r="AA55" s="52">
        <f t="shared" si="56"/>
        <v>3.598535459377139E-2</v>
      </c>
      <c r="AB55" s="52">
        <f t="shared" si="56"/>
        <v>3.2848364333181335E-2</v>
      </c>
      <c r="AC55" s="52">
        <f t="shared" si="56"/>
        <v>3.9609981254585737E-2</v>
      </c>
      <c r="AD55" s="52">
        <f t="shared" si="56"/>
        <v>4.2411025412225009E-2</v>
      </c>
      <c r="AE55" s="52">
        <f t="shared" si="56"/>
        <v>3.9775211402548652E-2</v>
      </c>
      <c r="AF55" s="52">
        <f t="shared" si="56"/>
        <v>4.816788182517092E-2</v>
      </c>
      <c r="AG55" s="52">
        <f t="shared" si="56"/>
        <v>4.5375443869305712E-2</v>
      </c>
    </row>
    <row r="56" spans="1:33" ht="15.75" thickBot="1" x14ac:dyDescent="0.3">
      <c r="A56" s="13" t="str">
        <f t="shared" si="48"/>
        <v>SCE</v>
      </c>
      <c r="B56" s="52">
        <f t="shared" ref="B56:C56" si="57">(B50-B25)/B50</f>
        <v>0.73130079034303952</v>
      </c>
      <c r="C56" s="52">
        <f t="shared" si="57"/>
        <v>0.92886005506306946</v>
      </c>
      <c r="D56" s="52">
        <f t="shared" ref="D56:E56" si="58">(D50-D25)/D50</f>
        <v>-1.5673538548432646</v>
      </c>
      <c r="E56" s="52">
        <f t="shared" si="58"/>
        <v>0.84822974155082931</v>
      </c>
      <c r="F56" s="52">
        <f t="shared" ref="F56:G56" si="59">(F50-F25)/F50</f>
        <v>0.84812772890983179</v>
      </c>
      <c r="G56" s="52">
        <f t="shared" si="59"/>
        <v>0.86885349861863981</v>
      </c>
      <c r="H56" s="52">
        <f t="shared" ref="H56:I56" si="60">(H50-H25)/H50</f>
        <v>0.88916802442589016</v>
      </c>
      <c r="I56" s="52">
        <f t="shared" si="60"/>
        <v>0.90635969337960653</v>
      </c>
      <c r="J56" s="52">
        <f t="shared" ref="J56:K56" si="61">(J50-J25)/J50</f>
        <v>0.88716206344340776</v>
      </c>
      <c r="K56" s="52">
        <f t="shared" si="61"/>
        <v>0.9245941810461028</v>
      </c>
      <c r="L56" s="52">
        <f t="shared" ref="L56:M56" si="62">(L50-L25)/L50</f>
        <v>0.8999054437390247</v>
      </c>
      <c r="M56" s="52">
        <f t="shared" si="62"/>
        <v>0.90636816253521257</v>
      </c>
      <c r="N56" s="52">
        <f t="shared" ref="N56:O56" si="63">(N50-N25)/N50</f>
        <v>0.53601379053298548</v>
      </c>
      <c r="O56" s="52">
        <f t="shared" si="63"/>
        <v>0.91586053000755396</v>
      </c>
      <c r="P56" s="52">
        <f t="shared" ref="P56:AG56" si="64">(P50-P25)/P50</f>
        <v>0.91870085139575641</v>
      </c>
      <c r="Q56" s="52">
        <f t="shared" si="64"/>
        <v>0.93494627924798979</v>
      </c>
      <c r="R56" s="52">
        <f t="shared" si="64"/>
        <v>0.94648104628505891</v>
      </c>
      <c r="S56" s="52">
        <f t="shared" si="64"/>
        <v>0.91899197797633558</v>
      </c>
      <c r="T56" s="52">
        <f t="shared" si="64"/>
        <v>0.9282267966991149</v>
      </c>
      <c r="U56" s="52">
        <f t="shared" si="64"/>
        <v>0.94006124397120627</v>
      </c>
      <c r="V56" s="52">
        <f t="shared" si="64"/>
        <v>0.92725320193008276</v>
      </c>
      <c r="W56" s="52">
        <f t="shared" si="64"/>
        <v>0.94874846950197667</v>
      </c>
      <c r="X56" s="52">
        <f t="shared" si="64"/>
        <v>0.96869059248420186</v>
      </c>
      <c r="Y56" s="52">
        <f t="shared" si="64"/>
        <v>0.94346984530685829</v>
      </c>
      <c r="Z56" s="52">
        <f t="shared" si="64"/>
        <v>0.94764508552893301</v>
      </c>
      <c r="AA56" s="52">
        <f t="shared" si="64"/>
        <v>0.99398260285071782</v>
      </c>
      <c r="AB56" s="52">
        <f t="shared" si="64"/>
        <v>0.96991040811993134</v>
      </c>
      <c r="AC56" s="52">
        <f t="shared" si="64"/>
        <v>0.9446294067638622</v>
      </c>
      <c r="AD56" s="52">
        <f t="shared" si="64"/>
        <v>0.94657643642959999</v>
      </c>
      <c r="AE56" s="52">
        <f t="shared" si="64"/>
        <v>0.9348363404910548</v>
      </c>
      <c r="AF56" s="52">
        <f t="shared" si="64"/>
        <v>0.94248375038839005</v>
      </c>
      <c r="AG56" s="52">
        <f t="shared" si="64"/>
        <v>0.93720625847646555</v>
      </c>
    </row>
    <row r="57" spans="1:33" ht="15.75" thickBot="1" x14ac:dyDescent="0.3">
      <c r="A57" s="13" t="str">
        <f>A46</f>
        <v>VAIC</v>
      </c>
      <c r="B57" s="52">
        <f t="shared" ref="B57" si="65">SUM(B54:B56)</f>
        <v>4.4639894731229957</v>
      </c>
      <c r="C57" s="52">
        <f t="shared" ref="C57:E57" si="66">SUM(C54:C56)</f>
        <v>15.026627658885154</v>
      </c>
      <c r="D57" s="52">
        <f t="shared" si="66"/>
        <v>-1.1769332477905217</v>
      </c>
      <c r="E57" s="52">
        <f t="shared" si="66"/>
        <v>7.4594716604832669</v>
      </c>
      <c r="F57" s="52">
        <f t="shared" ref="F57:G57" si="67">SUM(F54:F56)</f>
        <v>7.4568319182976657</v>
      </c>
      <c r="G57" s="52">
        <f t="shared" si="67"/>
        <v>8.5206514841716317</v>
      </c>
      <c r="H57" s="52">
        <f t="shared" ref="H57" si="68">SUM(H54:H56)</f>
        <v>9.9413295772708512</v>
      </c>
      <c r="I57" s="52">
        <f t="shared" ref="I57:J57" si="69">SUM(I54:I56)</f>
        <v>11.618104664670271</v>
      </c>
      <c r="J57" s="52">
        <f t="shared" si="69"/>
        <v>9.774669028899698</v>
      </c>
      <c r="K57" s="52">
        <f t="shared" ref="K57:L57" si="70">SUM(K54:K56)</f>
        <v>14.224944719611731</v>
      </c>
      <c r="L57" s="52">
        <f t="shared" si="70"/>
        <v>10.923818743189342</v>
      </c>
      <c r="M57" s="52">
        <f t="shared" ref="M57:N57" si="71">SUM(M54:M56)</f>
        <v>11.624060951625276</v>
      </c>
      <c r="N57" s="52">
        <f t="shared" si="71"/>
        <v>2.6977069176495418</v>
      </c>
      <c r="O57" s="52">
        <f t="shared" ref="O57:AG57" si="72">SUM(O54:O56)</f>
        <v>12.840400677694561</v>
      </c>
      <c r="P57" s="52">
        <f t="shared" si="72"/>
        <v>13.258734269595649</v>
      </c>
      <c r="Q57" s="52">
        <f t="shared" si="72"/>
        <v>16.348769360728035</v>
      </c>
      <c r="R57" s="52">
        <f t="shared" si="72"/>
        <v>19.682412219647695</v>
      </c>
      <c r="S57" s="52">
        <f t="shared" si="72"/>
        <v>13.30734535223047</v>
      </c>
      <c r="T57" s="52">
        <f t="shared" si="72"/>
        <v>14.896416984163347</v>
      </c>
      <c r="U57" s="52">
        <f t="shared" si="72"/>
        <v>17.660900428256756</v>
      </c>
      <c r="V57" s="52">
        <f t="shared" si="72"/>
        <v>14.710744921312155</v>
      </c>
      <c r="W57" s="52">
        <f t="shared" si="72"/>
        <v>20.499999646423372</v>
      </c>
      <c r="X57" s="52">
        <f t="shared" si="72"/>
        <v>32.944882910758288</v>
      </c>
      <c r="Y57" s="52">
        <f t="shared" si="72"/>
        <v>18.670994669637629</v>
      </c>
      <c r="Z57" s="52">
        <f t="shared" si="72"/>
        <v>20.087816706772632</v>
      </c>
      <c r="AA57" s="52">
        <f t="shared" si="72"/>
        <v>167.21477763371627</v>
      </c>
      <c r="AB57" s="52">
        <f t="shared" si="72"/>
        <v>34.236841972577871</v>
      </c>
      <c r="AC57" s="52">
        <f t="shared" si="72"/>
        <v>19.044367364890949</v>
      </c>
      <c r="AD57" s="52">
        <f t="shared" si="72"/>
        <v>19.707319470567324</v>
      </c>
      <c r="AE57" s="52">
        <f t="shared" si="72"/>
        <v>16.320588244051702</v>
      </c>
      <c r="AF57" s="52">
        <f t="shared" si="72"/>
        <v>18.377042552217929</v>
      </c>
      <c r="AG57" s="52">
        <f t="shared" si="72"/>
        <v>16.907735638669354</v>
      </c>
    </row>
    <row r="58" spans="1:33" x14ac:dyDescent="0.25">
      <c r="A58" s="88" t="s">
        <v>136</v>
      </c>
      <c r="B58" s="89">
        <f>B32*B18</f>
        <v>253124.04</v>
      </c>
      <c r="C58" s="89">
        <f t="shared" ref="C58:AG58" si="73">C32*C18</f>
        <v>109566.5</v>
      </c>
      <c r="D58" s="89">
        <f t="shared" si="73"/>
        <v>427600.36000000004</v>
      </c>
      <c r="E58" s="89">
        <f t="shared" si="73"/>
        <v>358767.42000000004</v>
      </c>
      <c r="F58" s="89">
        <f t="shared" si="73"/>
        <v>420951.30000000005</v>
      </c>
      <c r="G58" s="89">
        <f t="shared" si="73"/>
        <v>522564.43</v>
      </c>
      <c r="H58" s="89">
        <f t="shared" si="73"/>
        <v>483643.06</v>
      </c>
      <c r="I58" s="89">
        <f t="shared" si="73"/>
        <v>308583.67</v>
      </c>
      <c r="J58" s="89">
        <f t="shared" si="73"/>
        <v>311353.38</v>
      </c>
      <c r="K58" s="89">
        <f t="shared" si="73"/>
        <v>284213.7</v>
      </c>
      <c r="L58" s="89">
        <f t="shared" si="73"/>
        <v>212076.15</v>
      </c>
      <c r="M58" s="89">
        <f t="shared" si="73"/>
        <v>192626.07</v>
      </c>
      <c r="N58" s="89">
        <f t="shared" si="73"/>
        <v>202063.1</v>
      </c>
      <c r="O58" s="89">
        <f t="shared" si="73"/>
        <v>143416.64000000001</v>
      </c>
      <c r="P58" s="89">
        <f t="shared" si="73"/>
        <v>169334.9</v>
      </c>
      <c r="Q58" s="89">
        <f t="shared" si="73"/>
        <v>155220.12</v>
      </c>
      <c r="R58" s="89">
        <f t="shared" si="73"/>
        <v>125996.4</v>
      </c>
      <c r="S58" s="89">
        <f t="shared" si="73"/>
        <v>98409.75</v>
      </c>
      <c r="T58" s="89">
        <f t="shared" si="73"/>
        <v>177480</v>
      </c>
      <c r="U58" s="89">
        <f t="shared" si="73"/>
        <v>150546.90000000002</v>
      </c>
      <c r="V58" s="89">
        <f t="shared" si="73"/>
        <v>147241.13</v>
      </c>
      <c r="W58" s="89">
        <f t="shared" si="73"/>
        <v>125938.04000000001</v>
      </c>
      <c r="X58" s="89">
        <f t="shared" si="73"/>
        <v>164115.12</v>
      </c>
      <c r="Y58" s="89">
        <f t="shared" si="73"/>
        <v>209578.56</v>
      </c>
      <c r="Z58" s="89">
        <f t="shared" si="73"/>
        <v>92324.98</v>
      </c>
      <c r="AA58" s="89">
        <f t="shared" si="73"/>
        <v>98682.3</v>
      </c>
      <c r="AB58" s="89">
        <f t="shared" si="73"/>
        <v>91583.45</v>
      </c>
      <c r="AC58" s="89">
        <f t="shared" si="73"/>
        <v>85808.24</v>
      </c>
      <c r="AD58" s="89">
        <f t="shared" si="73"/>
        <v>74461.56</v>
      </c>
      <c r="AE58" s="89">
        <f t="shared" si="73"/>
        <v>70407.399999999994</v>
      </c>
      <c r="AF58" s="89">
        <f t="shared" si="73"/>
        <v>111476</v>
      </c>
      <c r="AG58" s="89">
        <f t="shared" si="73"/>
        <v>110622.18000000001</v>
      </c>
    </row>
    <row r="60" spans="1:33" s="82" customFormat="1" ht="12" x14ac:dyDescent="0.2">
      <c r="B60" s="109">
        <f>B50/(B10-B9)</f>
        <v>1.1159053966821954E-2</v>
      </c>
      <c r="C60" s="109">
        <f t="shared" ref="C60:AG60" si="74">C50/(C10-C9)</f>
        <v>4.2814028182311101E-2</v>
      </c>
      <c r="D60" s="109">
        <f t="shared" si="74"/>
        <v>9.2160802921482953E-4</v>
      </c>
      <c r="E60" s="109">
        <f t="shared" si="74"/>
        <v>2.2818372055423891E-2</v>
      </c>
      <c r="F60" s="109">
        <f t="shared" si="74"/>
        <v>2.4642228485968407E-2</v>
      </c>
      <c r="G60" s="109">
        <f t="shared" si="74"/>
        <v>2.7316314419224979E-2</v>
      </c>
      <c r="H60" s="109">
        <f t="shared" si="74"/>
        <v>3.0108753527988068E-2</v>
      </c>
      <c r="I60" s="109">
        <f t="shared" si="74"/>
        <v>3.3105541952473769E-2</v>
      </c>
      <c r="J60" s="109">
        <f t="shared" si="74"/>
        <v>2.5465556348070538E-2</v>
      </c>
      <c r="K60" s="109">
        <f t="shared" si="74"/>
        <v>3.9463947490189187E-2</v>
      </c>
      <c r="L60" s="109">
        <f t="shared" si="74"/>
        <v>3.3650518353944343E-2</v>
      </c>
      <c r="M60" s="109">
        <f t="shared" si="74"/>
        <v>3.7909214713011397E-2</v>
      </c>
      <c r="N60" s="109">
        <f t="shared" si="74"/>
        <v>6.5168067783413176E-3</v>
      </c>
      <c r="O60" s="109">
        <f t="shared" si="74"/>
        <v>3.9766825779131258E-2</v>
      </c>
      <c r="P60" s="109">
        <f t="shared" si="74"/>
        <v>4.0148583370018871E-2</v>
      </c>
      <c r="Q60" s="109">
        <f t="shared" si="74"/>
        <v>4.2300309558733512E-2</v>
      </c>
      <c r="R60" s="109">
        <f t="shared" si="74"/>
        <v>5.1482548289070229E-2</v>
      </c>
      <c r="S60" s="109">
        <f t="shared" si="74"/>
        <v>4.4301655246356798E-2</v>
      </c>
      <c r="T60" s="109">
        <f t="shared" si="74"/>
        <v>3.5724796776084387E-2</v>
      </c>
      <c r="U60" s="109">
        <f t="shared" si="74"/>
        <v>3.7471800308446448E-2</v>
      </c>
      <c r="V60" s="109">
        <f t="shared" si="74"/>
        <v>3.748478932321455E-2</v>
      </c>
      <c r="W60" s="109">
        <f t="shared" si="74"/>
        <v>3.9995236376924183E-2</v>
      </c>
      <c r="X60" s="109">
        <f t="shared" si="74"/>
        <v>3.7253191865821947E-2</v>
      </c>
      <c r="Y60" s="109">
        <f t="shared" si="74"/>
        <v>3.8161418197551367E-2</v>
      </c>
      <c r="Z60" s="109">
        <f t="shared" si="74"/>
        <v>4.0083899100292544E-2</v>
      </c>
      <c r="AA60" s="109">
        <f t="shared" si="74"/>
        <v>3.6342363218482374E-2</v>
      </c>
      <c r="AB60" s="109">
        <f t="shared" si="74"/>
        <v>3.3100145626956803E-2</v>
      </c>
      <c r="AC60" s="109">
        <f t="shared" si="74"/>
        <v>3.9953534502616746E-2</v>
      </c>
      <c r="AD60" s="109">
        <f t="shared" si="74"/>
        <v>4.2791911416190272E-2</v>
      </c>
      <c r="AE60" s="109">
        <f t="shared" si="74"/>
        <v>3.9839767224026948E-2</v>
      </c>
      <c r="AF60" s="109">
        <f t="shared" si="74"/>
        <v>4.8612756021478083E-2</v>
      </c>
      <c r="AG60" s="109">
        <f t="shared" si="74"/>
        <v>4.5618951995598775E-2</v>
      </c>
    </row>
    <row r="61" spans="1:33" s="82" customFormat="1" ht="12" x14ac:dyDescent="0.2">
      <c r="B61" s="109">
        <f>B50/B9</f>
        <v>1.1868217310746427</v>
      </c>
      <c r="C61" s="109">
        <f t="shared" ref="C61:AG61" si="75">C50/C9</f>
        <v>0.94977139517321096</v>
      </c>
      <c r="D61" s="109">
        <f t="shared" si="75"/>
        <v>0.1186071660988401</v>
      </c>
      <c r="E61" s="109">
        <f t="shared" si="75"/>
        <v>1.0559188015246874</v>
      </c>
      <c r="F61" s="109">
        <f t="shared" si="75"/>
        <v>1.426383328644695</v>
      </c>
      <c r="G61" s="109">
        <f t="shared" si="75"/>
        <v>1.2619313130750804</v>
      </c>
      <c r="H61" s="109">
        <f t="shared" si="75"/>
        <v>1.4460390875703555</v>
      </c>
      <c r="I61" s="109">
        <f t="shared" si="75"/>
        <v>2.0643512626889251</v>
      </c>
      <c r="J61" s="109">
        <f t="shared" si="75"/>
        <v>2.8403446816820725</v>
      </c>
      <c r="K61" s="109">
        <f t="shared" si="75"/>
        <v>2.2195294059389599</v>
      </c>
      <c r="L61" s="109">
        <f t="shared" si="75"/>
        <v>3.86397077098971</v>
      </c>
      <c r="M61" s="109">
        <f t="shared" si="75"/>
        <v>4.1357340939390221</v>
      </c>
      <c r="N61" s="109">
        <f t="shared" si="75"/>
        <v>0.69954046214516186</v>
      </c>
      <c r="O61" s="109">
        <f t="shared" si="75"/>
        <v>6.1571391281649701</v>
      </c>
      <c r="P61" s="109">
        <f t="shared" si="75"/>
        <v>4.3522367742600805</v>
      </c>
      <c r="Q61" s="109">
        <f t="shared" si="75"/>
        <v>4.5676556763122615</v>
      </c>
      <c r="R61" s="109">
        <f t="shared" si="75"/>
        <v>5.0402381264544891</v>
      </c>
      <c r="S61" s="109">
        <f t="shared" si="75"/>
        <v>4.8049315520369458</v>
      </c>
      <c r="T61" s="109">
        <f t="shared" si="75"/>
        <v>4.0666182602910874</v>
      </c>
      <c r="U61" s="109">
        <f t="shared" si="75"/>
        <v>4.2319808894088684</v>
      </c>
      <c r="V61" s="109">
        <f t="shared" si="75"/>
        <v>4.606727386285514</v>
      </c>
      <c r="W61" s="109">
        <f t="shared" si="75"/>
        <v>4.447029662405769</v>
      </c>
      <c r="X61" s="109">
        <f t="shared" si="75"/>
        <v>4.0087582464008316</v>
      </c>
      <c r="Y61" s="109">
        <f t="shared" si="75"/>
        <v>4.6526332297339685</v>
      </c>
      <c r="Z61" s="109">
        <f t="shared" si="75"/>
        <v>5.0454644144339742</v>
      </c>
      <c r="AA61" s="109">
        <f t="shared" si="75"/>
        <v>3.6631967315956211</v>
      </c>
      <c r="AB61" s="109">
        <f t="shared" si="75"/>
        <v>4.3183734054733174</v>
      </c>
      <c r="AC61" s="109">
        <f t="shared" si="75"/>
        <v>4.6064438679393742</v>
      </c>
      <c r="AD61" s="109">
        <f t="shared" si="75"/>
        <v>4.7648084298609232</v>
      </c>
      <c r="AE61" s="109">
        <f t="shared" si="75"/>
        <v>24.546743070985851</v>
      </c>
      <c r="AF61" s="109">
        <f t="shared" si="75"/>
        <v>5.2634508961757662</v>
      </c>
      <c r="AG61" s="109">
        <f t="shared" si="75"/>
        <v>8.5006616705743596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63"/>
  <sheetViews>
    <sheetView tabSelected="1" topLeftCell="A19" workbookViewId="0">
      <pane xSplit="1" topLeftCell="B1" activePane="topRight" state="frozenSplit"/>
      <selection activeCell="A19" sqref="A19"/>
      <selection pane="topRight" activeCell="F9" sqref="F9:I9"/>
    </sheetView>
  </sheetViews>
  <sheetFormatPr defaultRowHeight="15" x14ac:dyDescent="0.25"/>
  <cols>
    <col min="1" max="1" width="36.28515625" customWidth="1"/>
    <col min="2" max="13" width="13" style="8" customWidth="1"/>
    <col min="14" max="14" width="11.28515625" customWidth="1"/>
    <col min="15" max="15" width="11.7109375" customWidth="1"/>
    <col min="16" max="17" width="11.5703125" customWidth="1"/>
    <col min="18" max="18" width="12.28515625" customWidth="1"/>
    <col min="19" max="21" width="11.7109375" customWidth="1"/>
    <col min="22" max="22" width="11.42578125" customWidth="1"/>
    <col min="23" max="23" width="11.140625" customWidth="1"/>
    <col min="24" max="25" width="11.28515625" customWidth="1"/>
    <col min="26" max="26" width="11.140625" customWidth="1"/>
    <col min="27" max="27" width="10.7109375" customWidth="1"/>
    <col min="28" max="28" width="11" customWidth="1"/>
    <col min="29" max="29" width="11.28515625" customWidth="1"/>
    <col min="30" max="30" width="10.85546875" customWidth="1"/>
    <col min="31" max="31" width="10.5703125" customWidth="1"/>
    <col min="32" max="32" width="11.42578125" customWidth="1"/>
    <col min="33" max="33" width="11.140625" customWidth="1"/>
  </cols>
  <sheetData>
    <row r="2" spans="1:35" x14ac:dyDescent="0.25">
      <c r="O2" s="8" t="s">
        <v>51</v>
      </c>
    </row>
    <row r="3" spans="1:35" x14ac:dyDescent="0.25">
      <c r="A3" s="8" t="s">
        <v>1</v>
      </c>
      <c r="B3" s="1" t="s">
        <v>61</v>
      </c>
      <c r="C3" s="1" t="s">
        <v>62</v>
      </c>
      <c r="D3" s="1" t="s">
        <v>70</v>
      </c>
      <c r="E3" s="1" t="s">
        <v>63</v>
      </c>
      <c r="F3" s="29" t="s">
        <v>64</v>
      </c>
      <c r="G3" s="29" t="s">
        <v>65</v>
      </c>
      <c r="H3" s="29" t="s">
        <v>66</v>
      </c>
      <c r="I3" s="29" t="s">
        <v>67</v>
      </c>
      <c r="J3" s="1" t="s">
        <v>68</v>
      </c>
      <c r="K3" s="1" t="s">
        <v>69</v>
      </c>
      <c r="L3" s="1" t="s">
        <v>71</v>
      </c>
      <c r="M3" s="1" t="s">
        <v>72</v>
      </c>
      <c r="N3" s="1" t="s">
        <v>14</v>
      </c>
      <c r="O3" s="1" t="s">
        <v>15</v>
      </c>
      <c r="P3" s="1" t="s">
        <v>16</v>
      </c>
      <c r="Q3" s="1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1" t="s">
        <v>26</v>
      </c>
      <c r="AA3" s="1" t="s">
        <v>27</v>
      </c>
      <c r="AB3" s="1" t="s">
        <v>28</v>
      </c>
      <c r="AC3" s="1" t="s">
        <v>29</v>
      </c>
      <c r="AD3" s="4" t="s">
        <v>30</v>
      </c>
      <c r="AE3" s="4" t="s">
        <v>31</v>
      </c>
      <c r="AF3" s="4" t="s">
        <v>32</v>
      </c>
      <c r="AG3" s="4" t="s">
        <v>33</v>
      </c>
    </row>
    <row r="4" spans="1:35" ht="15.75" thickBot="1" x14ac:dyDescent="0.3">
      <c r="A4" s="8" t="s">
        <v>2</v>
      </c>
      <c r="B4" s="8">
        <v>10531769</v>
      </c>
      <c r="C4" s="8">
        <v>11449358</v>
      </c>
      <c r="D4" s="8">
        <v>13306379</v>
      </c>
      <c r="E4" s="8">
        <v>14685559</v>
      </c>
      <c r="F4" s="8">
        <v>16258219</v>
      </c>
      <c r="G4" s="8">
        <v>13061921</v>
      </c>
      <c r="H4" s="8">
        <v>14648919</v>
      </c>
      <c r="I4" s="8">
        <v>12502380</v>
      </c>
      <c r="J4" s="8">
        <v>11976881</v>
      </c>
      <c r="K4" s="8">
        <v>10489339</v>
      </c>
      <c r="L4" s="8">
        <v>9826495</v>
      </c>
      <c r="M4" s="8">
        <v>8398097</v>
      </c>
      <c r="N4" s="70">
        <v>6660759</v>
      </c>
      <c r="O4" s="70">
        <v>7112526</v>
      </c>
      <c r="P4" s="70">
        <v>13711215</v>
      </c>
      <c r="Q4" s="70">
        <v>9893254</v>
      </c>
      <c r="R4" s="70">
        <v>10104950</v>
      </c>
      <c r="S4" s="70">
        <v>11533538</v>
      </c>
      <c r="T4" s="70">
        <v>9008877</v>
      </c>
      <c r="U4" s="22">
        <v>9705122</v>
      </c>
      <c r="V4" s="70">
        <v>10805710</v>
      </c>
      <c r="W4" s="70">
        <v>11671662</v>
      </c>
      <c r="X4" s="26">
        <v>12967214</v>
      </c>
      <c r="Y4" s="26">
        <v>14419316</v>
      </c>
      <c r="Z4" s="26">
        <v>15311953</v>
      </c>
      <c r="AA4" s="26">
        <v>15685902</v>
      </c>
      <c r="AB4" s="26">
        <v>14648919</v>
      </c>
      <c r="AC4" s="22">
        <v>11684306</v>
      </c>
      <c r="AD4" s="26">
        <v>11374335</v>
      </c>
      <c r="AE4" s="26">
        <v>10489339</v>
      </c>
      <c r="AF4" s="26">
        <v>9826495</v>
      </c>
      <c r="AG4" s="25">
        <v>7912238</v>
      </c>
      <c r="AH4" s="45"/>
      <c r="AI4" s="45"/>
    </row>
    <row r="5" spans="1:35" ht="15.75" thickBot="1" x14ac:dyDescent="0.3">
      <c r="A5" s="8" t="s">
        <v>3</v>
      </c>
      <c r="B5" s="8">
        <v>1226602</v>
      </c>
      <c r="C5" s="8">
        <v>823544</v>
      </c>
      <c r="D5" s="8">
        <v>744001</v>
      </c>
      <c r="E5" s="8">
        <v>914521</v>
      </c>
      <c r="F5" s="8">
        <v>989141</v>
      </c>
      <c r="G5" s="8">
        <v>869877</v>
      </c>
      <c r="H5" s="8">
        <v>841852</v>
      </c>
      <c r="I5" s="8">
        <v>818074</v>
      </c>
      <c r="J5" s="8">
        <v>823988</v>
      </c>
      <c r="K5" s="8">
        <v>654703</v>
      </c>
      <c r="L5" s="8">
        <v>445908</v>
      </c>
      <c r="M5" s="8">
        <v>485859</v>
      </c>
      <c r="N5" s="70">
        <v>411206</v>
      </c>
      <c r="O5" s="70">
        <v>474003</v>
      </c>
      <c r="P5" s="70">
        <v>483382</v>
      </c>
      <c r="Q5" s="70">
        <v>469794</v>
      </c>
      <c r="R5" s="70">
        <v>507601</v>
      </c>
      <c r="S5" s="70">
        <v>568411</v>
      </c>
      <c r="T5" s="70">
        <v>744001</v>
      </c>
      <c r="U5" s="22">
        <v>721394</v>
      </c>
      <c r="V5" s="70">
        <v>1226602</v>
      </c>
      <c r="W5" s="70">
        <v>823544</v>
      </c>
      <c r="X5" s="26">
        <v>744001</v>
      </c>
      <c r="Y5" s="26">
        <v>914521</v>
      </c>
      <c r="Z5" s="26">
        <v>989141</v>
      </c>
      <c r="AA5" s="26">
        <v>869876</v>
      </c>
      <c r="AB5" s="26">
        <v>841852</v>
      </c>
      <c r="AC5" s="22">
        <v>818074</v>
      </c>
      <c r="AD5" s="26">
        <v>823988</v>
      </c>
      <c r="AE5" s="26">
        <v>654703</v>
      </c>
      <c r="AF5" s="70">
        <v>446908</v>
      </c>
      <c r="AG5" s="25">
        <v>485859</v>
      </c>
      <c r="AH5" s="45"/>
      <c r="AI5" s="45"/>
    </row>
    <row r="6" spans="1:35" ht="15.75" thickBot="1" x14ac:dyDescent="0.3">
      <c r="A6" s="8" t="s">
        <v>4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70">
        <v>0</v>
      </c>
      <c r="O6" s="70">
        <v>0</v>
      </c>
      <c r="P6" s="70">
        <v>0</v>
      </c>
      <c r="Q6" s="70">
        <v>0</v>
      </c>
      <c r="R6" s="70">
        <v>0</v>
      </c>
      <c r="S6" s="70">
        <v>0</v>
      </c>
      <c r="T6" s="70">
        <v>0</v>
      </c>
      <c r="U6" s="74">
        <v>0</v>
      </c>
      <c r="V6" s="70">
        <v>0</v>
      </c>
      <c r="W6" s="70">
        <v>0</v>
      </c>
      <c r="X6" s="26">
        <v>0</v>
      </c>
      <c r="Y6" s="26">
        <v>5631</v>
      </c>
      <c r="Z6" s="26">
        <v>5500</v>
      </c>
      <c r="AA6" s="26">
        <v>5383</v>
      </c>
      <c r="AB6" s="26">
        <v>5279</v>
      </c>
      <c r="AC6" s="22">
        <v>24113</v>
      </c>
      <c r="AD6" s="26">
        <v>16733</v>
      </c>
      <c r="AE6" s="26">
        <v>11301</v>
      </c>
      <c r="AF6" s="70">
        <v>18755</v>
      </c>
      <c r="AG6" s="25">
        <v>19003</v>
      </c>
      <c r="AH6" s="45"/>
      <c r="AI6" s="45"/>
    </row>
    <row r="7" spans="1:35" ht="15.75" thickBot="1" x14ac:dyDescent="0.3">
      <c r="A7" s="8" t="s">
        <v>5</v>
      </c>
      <c r="B7" s="8">
        <v>16600264</v>
      </c>
      <c r="C7" s="8">
        <v>16128506</v>
      </c>
      <c r="D7" s="8">
        <v>16639846</v>
      </c>
      <c r="E7" s="8">
        <v>15539733</v>
      </c>
      <c r="F7" s="8">
        <v>16350648</v>
      </c>
      <c r="G7" s="8">
        <v>17309495</v>
      </c>
      <c r="H7" s="8">
        <v>175397122</v>
      </c>
      <c r="I7" s="8">
        <v>17630016</v>
      </c>
      <c r="J7" s="8">
        <v>16530851</v>
      </c>
      <c r="K7" s="8">
        <v>16673903</v>
      </c>
      <c r="L7" s="8">
        <v>12265016</v>
      </c>
      <c r="M7" s="8">
        <v>13275498</v>
      </c>
      <c r="N7" s="70">
        <v>12980496</v>
      </c>
      <c r="O7" s="70">
        <v>13839664</v>
      </c>
      <c r="P7" s="70">
        <v>16780443</v>
      </c>
      <c r="Q7" s="70">
        <v>16412112</v>
      </c>
      <c r="R7" s="70">
        <v>17057560</v>
      </c>
      <c r="S7" s="70">
        <v>16864429</v>
      </c>
      <c r="T7" s="70">
        <v>19677291</v>
      </c>
      <c r="U7" s="22">
        <v>17254889</v>
      </c>
      <c r="V7" s="70">
        <v>17937255</v>
      </c>
      <c r="W7" s="70">
        <v>19085290</v>
      </c>
      <c r="X7" s="26">
        <v>19677291</v>
      </c>
      <c r="Y7" s="26">
        <v>20733094</v>
      </c>
      <c r="Z7" s="26">
        <v>21628434</v>
      </c>
      <c r="AA7" s="26">
        <v>22595717</v>
      </c>
      <c r="AB7" s="26">
        <v>24269247</v>
      </c>
      <c r="AC7" s="22">
        <v>24072527</v>
      </c>
      <c r="AD7" s="26">
        <v>23838428</v>
      </c>
      <c r="AE7" s="26">
        <v>23613760</v>
      </c>
      <c r="AF7" s="70">
        <v>23677953</v>
      </c>
      <c r="AG7" s="25">
        <v>24466197</v>
      </c>
      <c r="AH7" s="45"/>
      <c r="AI7" s="45"/>
    </row>
    <row r="8" spans="1:35" ht="15.75" thickBot="1" x14ac:dyDescent="0.3">
      <c r="A8" s="8" t="s">
        <v>6</v>
      </c>
      <c r="B8" s="8">
        <v>9615374</v>
      </c>
      <c r="C8" s="8">
        <v>9750273</v>
      </c>
      <c r="D8" s="8">
        <v>9682351</v>
      </c>
      <c r="E8" s="8">
        <v>9843985</v>
      </c>
      <c r="F8" s="8">
        <v>9950015</v>
      </c>
      <c r="G8" s="8">
        <v>9877746</v>
      </c>
      <c r="H8" s="8">
        <v>9847221</v>
      </c>
      <c r="I8" s="8">
        <v>9600145</v>
      </c>
      <c r="J8" s="8">
        <v>9587361</v>
      </c>
      <c r="K8" s="8">
        <v>9847734</v>
      </c>
      <c r="L8" s="8">
        <v>9746914</v>
      </c>
      <c r="M8" s="8">
        <v>9976492</v>
      </c>
      <c r="N8" s="70">
        <v>9944400</v>
      </c>
      <c r="O8" s="70">
        <v>9841878</v>
      </c>
      <c r="P8" s="70">
        <v>9508196</v>
      </c>
      <c r="Q8" s="70">
        <v>9665424</v>
      </c>
      <c r="R8" s="70">
        <v>9568406</v>
      </c>
      <c r="S8" s="70">
        <v>9591782</v>
      </c>
      <c r="T8" s="70">
        <v>9032757</v>
      </c>
      <c r="U8" s="22">
        <v>10941693</v>
      </c>
      <c r="V8" s="70">
        <v>9271909</v>
      </c>
      <c r="W8" s="70">
        <v>9159304</v>
      </c>
      <c r="X8" s="26">
        <v>10562643</v>
      </c>
      <c r="Y8" s="26">
        <v>10442677</v>
      </c>
      <c r="Z8" s="26">
        <v>10319132</v>
      </c>
      <c r="AA8" s="26">
        <v>10227572</v>
      </c>
      <c r="AB8" s="26">
        <v>8570410</v>
      </c>
      <c r="AC8" s="22">
        <v>10045007</v>
      </c>
      <c r="AD8" s="26">
        <v>8439298</v>
      </c>
      <c r="AE8" s="26">
        <v>8294983</v>
      </c>
      <c r="AF8" s="70">
        <v>8148218</v>
      </c>
      <c r="AG8" s="25">
        <v>9493078</v>
      </c>
      <c r="AH8" s="45"/>
      <c r="AI8" s="45"/>
    </row>
    <row r="9" spans="1:35" s="8" customFormat="1" ht="15.75" thickBot="1" x14ac:dyDescent="0.3">
      <c r="A9" s="8" t="s">
        <v>137</v>
      </c>
      <c r="B9" s="8">
        <v>316760</v>
      </c>
      <c r="C9" s="8">
        <v>209487</v>
      </c>
      <c r="D9" s="8">
        <v>322845</v>
      </c>
      <c r="E9" s="8">
        <v>1299372</v>
      </c>
      <c r="F9" s="8">
        <v>1458594</v>
      </c>
      <c r="G9" s="8">
        <v>1639092</v>
      </c>
      <c r="H9" s="8">
        <v>1876964</v>
      </c>
      <c r="I9" s="8">
        <v>1304033</v>
      </c>
      <c r="J9" s="8">
        <v>1534950</v>
      </c>
      <c r="K9" s="8">
        <v>1683453</v>
      </c>
      <c r="L9" s="8">
        <v>1688948</v>
      </c>
      <c r="M9" s="8">
        <v>1863927</v>
      </c>
      <c r="N9" s="70">
        <v>1879678</v>
      </c>
      <c r="O9" s="70">
        <v>1888184</v>
      </c>
      <c r="P9" s="70">
        <v>1825166</v>
      </c>
      <c r="Q9" s="70">
        <v>2272607</v>
      </c>
      <c r="R9" s="70">
        <v>2302890</v>
      </c>
      <c r="S9" s="70">
        <v>1655996</v>
      </c>
      <c r="T9" s="70">
        <v>1261105</v>
      </c>
      <c r="U9" s="22">
        <v>1157860</v>
      </c>
      <c r="V9" s="70">
        <v>1187663</v>
      </c>
      <c r="W9" s="70">
        <v>1280035</v>
      </c>
      <c r="X9" s="26">
        <v>1411644</v>
      </c>
      <c r="Y9" s="26">
        <v>1107808</v>
      </c>
      <c r="Z9" s="26">
        <v>1307488</v>
      </c>
      <c r="AA9" s="26">
        <v>1549582</v>
      </c>
      <c r="AB9" s="26">
        <v>1713346</v>
      </c>
      <c r="AC9" s="22">
        <v>2012546</v>
      </c>
      <c r="AD9" s="26">
        <v>549360</v>
      </c>
      <c r="AE9" s="26">
        <v>730880</v>
      </c>
      <c r="AF9" s="70">
        <v>1052893</v>
      </c>
      <c r="AG9" s="25">
        <v>811810</v>
      </c>
      <c r="AH9" s="45"/>
      <c r="AI9" s="45"/>
    </row>
    <row r="10" spans="1:35" ht="15.75" thickBot="1" x14ac:dyDescent="0.3">
      <c r="A10" s="8" t="s">
        <v>7</v>
      </c>
      <c r="B10" s="8">
        <v>39270819</v>
      </c>
      <c r="C10" s="8">
        <v>41223838</v>
      </c>
      <c r="D10" s="8">
        <v>43546313</v>
      </c>
      <c r="E10" s="8">
        <v>46442673</v>
      </c>
      <c r="F10" s="8">
        <v>48686363</v>
      </c>
      <c r="G10" s="8">
        <v>46464571</v>
      </c>
      <c r="H10" s="8">
        <v>49023741</v>
      </c>
      <c r="I10" s="8">
        <v>46644027</v>
      </c>
      <c r="J10" s="8">
        <v>47236773</v>
      </c>
      <c r="K10" s="8">
        <v>43876248</v>
      </c>
      <c r="L10" s="8">
        <v>43138286</v>
      </c>
      <c r="M10" s="8">
        <v>42376375</v>
      </c>
      <c r="N10" s="70">
        <v>31115541</v>
      </c>
      <c r="O10" s="70">
        <v>32123954</v>
      </c>
      <c r="P10" s="70">
        <v>38827401</v>
      </c>
      <c r="Q10" s="70">
        <v>37500676</v>
      </c>
      <c r="R10" s="70">
        <v>38260802</v>
      </c>
      <c r="S10" s="70">
        <v>39619635</v>
      </c>
      <c r="T10" s="70">
        <v>43951149</v>
      </c>
      <c r="U10" s="22">
        <v>38623098</v>
      </c>
      <c r="V10" s="70">
        <v>39544760</v>
      </c>
      <c r="W10" s="70">
        <v>29774480</v>
      </c>
      <c r="X10" s="26">
        <v>43951149</v>
      </c>
      <c r="Y10" s="26">
        <v>46515239</v>
      </c>
      <c r="Z10" s="26">
        <v>48254160</v>
      </c>
      <c r="AA10" s="26">
        <v>49384450</v>
      </c>
      <c r="AB10" s="26">
        <v>49023741</v>
      </c>
      <c r="AC10" s="22">
        <v>46644027</v>
      </c>
      <c r="AD10" s="26">
        <v>45135659</v>
      </c>
      <c r="AE10" s="26">
        <v>43876248</v>
      </c>
      <c r="AF10" s="70">
        <v>43138286</v>
      </c>
      <c r="AG10" s="25">
        <v>42376375</v>
      </c>
      <c r="AH10" s="45"/>
      <c r="AI10" s="45"/>
    </row>
    <row r="11" spans="1:35" ht="15.75" thickBot="1" x14ac:dyDescent="0.3">
      <c r="A11" s="8" t="s">
        <v>8</v>
      </c>
      <c r="B11" s="8">
        <v>9834121</v>
      </c>
      <c r="C11" s="8">
        <v>10331879</v>
      </c>
      <c r="D11" s="8">
        <v>11182386</v>
      </c>
      <c r="E11" s="8">
        <v>12544180</v>
      </c>
      <c r="F11" s="8">
        <v>12430034</v>
      </c>
      <c r="G11" s="8">
        <v>12600117</v>
      </c>
      <c r="H11" s="8">
        <v>15243614</v>
      </c>
      <c r="I11" s="8">
        <v>29790215</v>
      </c>
      <c r="J11" s="8">
        <v>27801438</v>
      </c>
      <c r="K11" s="8">
        <v>27948000</v>
      </c>
      <c r="L11" s="8">
        <v>27358816</v>
      </c>
      <c r="M11" s="8">
        <v>18149713</v>
      </c>
      <c r="N11" s="70">
        <v>11218427</v>
      </c>
      <c r="O11" s="70">
        <v>10835345</v>
      </c>
      <c r="P11" s="70">
        <v>9318450</v>
      </c>
      <c r="Q11" s="70">
        <v>18046574</v>
      </c>
      <c r="R11" s="70">
        <v>11936451</v>
      </c>
      <c r="S11" s="70">
        <v>12648082</v>
      </c>
      <c r="T11" s="70">
        <v>11194250</v>
      </c>
      <c r="U11" s="22">
        <v>10074649</v>
      </c>
      <c r="V11" s="70">
        <v>10108062</v>
      </c>
      <c r="W11" s="70">
        <v>10625716</v>
      </c>
      <c r="X11" s="26">
        <v>11194250</v>
      </c>
      <c r="Y11" s="26">
        <v>12423750</v>
      </c>
      <c r="Z11" s="26">
        <v>12021136</v>
      </c>
      <c r="AA11" s="26">
        <v>11790868</v>
      </c>
      <c r="AB11" s="26">
        <v>15243614</v>
      </c>
      <c r="AC11" s="22">
        <v>29790215</v>
      </c>
      <c r="AD11" s="26">
        <v>28316097</v>
      </c>
      <c r="AE11" s="26">
        <v>27948000</v>
      </c>
      <c r="AF11" s="70">
        <v>27358816</v>
      </c>
      <c r="AG11" s="25">
        <v>18149713</v>
      </c>
      <c r="AH11" s="45"/>
      <c r="AI11" s="45"/>
    </row>
    <row r="12" spans="1:35" ht="15.75" thickBot="1" x14ac:dyDescent="0.3">
      <c r="A12" s="8" t="s">
        <v>9</v>
      </c>
      <c r="B12" s="8">
        <v>4809943</v>
      </c>
      <c r="C12" s="8">
        <v>4997100</v>
      </c>
      <c r="D12" s="8">
        <v>5629475</v>
      </c>
      <c r="E12" s="8">
        <v>4926188</v>
      </c>
      <c r="F12" s="8">
        <v>5771943</v>
      </c>
      <c r="G12" s="8">
        <v>5756119</v>
      </c>
      <c r="H12" s="8">
        <v>5889428</v>
      </c>
      <c r="I12" s="8">
        <v>5994038</v>
      </c>
      <c r="J12" s="8">
        <v>6017411</v>
      </c>
      <c r="K12" s="8">
        <v>4907561</v>
      </c>
      <c r="L12" s="8">
        <v>4892400</v>
      </c>
      <c r="M12" s="8">
        <v>5729984</v>
      </c>
      <c r="N12" s="70">
        <v>5645096</v>
      </c>
      <c r="O12" s="70">
        <v>4946642</v>
      </c>
      <c r="P12" s="70">
        <v>7651793</v>
      </c>
      <c r="Q12" s="70">
        <v>1065979</v>
      </c>
      <c r="R12" s="70">
        <v>8030896</v>
      </c>
      <c r="S12" s="70">
        <v>8054723</v>
      </c>
      <c r="T12" s="70">
        <v>9759162</v>
      </c>
      <c r="U12" s="22">
        <v>7642673</v>
      </c>
      <c r="V12" s="70">
        <v>8076784</v>
      </c>
      <c r="W12" s="70">
        <v>8574781</v>
      </c>
      <c r="X12" s="26">
        <v>9908839</v>
      </c>
      <c r="Y12" s="26">
        <v>10128160</v>
      </c>
      <c r="Z12" s="26">
        <v>11831069</v>
      </c>
      <c r="AA12" s="26">
        <v>12842232</v>
      </c>
      <c r="AB12" s="26">
        <v>15017786</v>
      </c>
      <c r="AC12" s="22">
        <v>199921</v>
      </c>
      <c r="AD12" s="26">
        <v>210193</v>
      </c>
      <c r="AE12" s="26">
        <v>219784</v>
      </c>
      <c r="AF12" s="70">
        <v>229294</v>
      </c>
      <c r="AG12" s="25">
        <v>8665896</v>
      </c>
      <c r="AH12" s="45"/>
      <c r="AI12" s="45"/>
    </row>
    <row r="13" spans="1:35" ht="15.75" thickBot="1" x14ac:dyDescent="0.3">
      <c r="A13" s="8" t="s">
        <v>10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4">
        <v>0</v>
      </c>
      <c r="V13" s="70">
        <v>0</v>
      </c>
      <c r="W13" s="70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74">
        <v>0</v>
      </c>
      <c r="AD13" s="70">
        <v>0</v>
      </c>
      <c r="AE13" s="70">
        <v>0</v>
      </c>
      <c r="AF13" s="70">
        <v>0</v>
      </c>
      <c r="AG13" s="44">
        <v>0</v>
      </c>
      <c r="AH13" s="45"/>
      <c r="AI13" s="45"/>
    </row>
    <row r="14" spans="1:35" ht="15.75" thickBot="1" x14ac:dyDescent="0.3">
      <c r="A14" s="8" t="s">
        <v>11</v>
      </c>
      <c r="B14" s="8">
        <v>21359914</v>
      </c>
      <c r="C14" s="8">
        <v>22085456</v>
      </c>
      <c r="D14" s="8">
        <v>22455088</v>
      </c>
      <c r="E14" s="8">
        <v>23223150</v>
      </c>
      <c r="F14" s="8">
        <v>23873052</v>
      </c>
      <c r="G14" s="8">
        <v>19593882</v>
      </c>
      <c r="H14" s="8">
        <v>18760841</v>
      </c>
      <c r="I14" s="8">
        <v>16652391</v>
      </c>
      <c r="J14" s="8">
        <v>19223642</v>
      </c>
      <c r="K14" s="8">
        <v>15706964</v>
      </c>
      <c r="L14" s="8">
        <v>15548676</v>
      </c>
      <c r="M14" s="8">
        <v>15559266</v>
      </c>
      <c r="N14" s="70">
        <v>15177898</v>
      </c>
      <c r="O14" s="70">
        <v>16341967</v>
      </c>
      <c r="P14" s="70">
        <v>19728238</v>
      </c>
      <c r="Q14" s="70">
        <v>18388123</v>
      </c>
      <c r="R14" s="70">
        <v>18195572</v>
      </c>
      <c r="S14" s="70">
        <v>18916830</v>
      </c>
      <c r="T14" s="70">
        <v>22848060</v>
      </c>
      <c r="U14" s="22">
        <v>20905776</v>
      </c>
      <c r="V14" s="70">
        <v>21359914</v>
      </c>
      <c r="W14" s="70">
        <v>22085456</v>
      </c>
      <c r="X14" s="26">
        <v>22848060</v>
      </c>
      <c r="Y14" s="26">
        <v>23963329</v>
      </c>
      <c r="Z14" s="26">
        <v>24401955</v>
      </c>
      <c r="AA14" s="26">
        <v>24751350</v>
      </c>
      <c r="AB14" s="26">
        <v>18760841</v>
      </c>
      <c r="AC14" s="22">
        <v>16653891</v>
      </c>
      <c r="AD14" s="26">
        <v>16609369</v>
      </c>
      <c r="AE14" s="26">
        <v>15706964</v>
      </c>
      <c r="AF14" s="70">
        <v>15548676</v>
      </c>
      <c r="AG14" s="25">
        <v>15560766</v>
      </c>
      <c r="AH14" s="45"/>
      <c r="AI14" s="45"/>
    </row>
    <row r="15" spans="1:35" ht="15.75" thickBot="1" x14ac:dyDescent="0.3">
      <c r="A15" s="8" t="s">
        <v>12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4">
        <v>0</v>
      </c>
      <c r="V15" s="70">
        <v>0</v>
      </c>
      <c r="W15" s="70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74">
        <v>0</v>
      </c>
      <c r="AD15" s="43">
        <v>0</v>
      </c>
      <c r="AE15" s="43">
        <v>0</v>
      </c>
      <c r="AF15" s="70">
        <v>0</v>
      </c>
      <c r="AG15" s="44">
        <v>0</v>
      </c>
      <c r="AH15" s="45"/>
      <c r="AI15" s="45"/>
    </row>
    <row r="16" spans="1:35" ht="15.75" thickBot="1" x14ac:dyDescent="0.3">
      <c r="A16" s="8" t="s">
        <v>13</v>
      </c>
      <c r="B16" s="8">
        <v>39270819</v>
      </c>
      <c r="C16" s="8">
        <v>41223838</v>
      </c>
      <c r="D16" s="8">
        <v>43546313</v>
      </c>
      <c r="E16" s="8">
        <v>46442673</v>
      </c>
      <c r="F16" s="8">
        <v>48686363</v>
      </c>
      <c r="G16" s="8">
        <v>46464571</v>
      </c>
      <c r="H16" s="8">
        <v>49023741</v>
      </c>
      <c r="I16" s="8">
        <v>46644027</v>
      </c>
      <c r="J16" s="8">
        <v>47236773</v>
      </c>
      <c r="K16" s="8">
        <v>43876248</v>
      </c>
      <c r="L16" s="8">
        <v>43138286</v>
      </c>
      <c r="M16" s="8">
        <v>42376375</v>
      </c>
      <c r="N16" s="70">
        <v>31115541</v>
      </c>
      <c r="O16" s="70">
        <v>32123954</v>
      </c>
      <c r="P16" s="70">
        <v>36827401</v>
      </c>
      <c r="Q16" s="70">
        <v>37500676</v>
      </c>
      <c r="R16" s="70">
        <v>38260804</v>
      </c>
      <c r="S16" s="70">
        <v>39619635</v>
      </c>
      <c r="T16" s="70">
        <v>43951149</v>
      </c>
      <c r="U16" s="22">
        <v>38623098</v>
      </c>
      <c r="V16" s="70">
        <v>39544760</v>
      </c>
      <c r="W16" s="70">
        <v>41446142</v>
      </c>
      <c r="X16" s="26">
        <v>43951149</v>
      </c>
      <c r="Y16" s="26">
        <v>46515239</v>
      </c>
      <c r="Z16" s="26">
        <v>48254160</v>
      </c>
      <c r="AA16" s="26">
        <v>49384450</v>
      </c>
      <c r="AB16" s="26">
        <v>49023741</v>
      </c>
      <c r="AC16" s="22">
        <v>46644027</v>
      </c>
      <c r="AD16" s="26">
        <v>45135659</v>
      </c>
      <c r="AE16" s="26">
        <v>43876248</v>
      </c>
      <c r="AF16" s="70">
        <v>43138286</v>
      </c>
      <c r="AG16" s="25">
        <v>42376375</v>
      </c>
      <c r="AH16" s="45"/>
      <c r="AI16" s="45"/>
    </row>
    <row r="17" spans="1:35" x14ac:dyDescent="0.25">
      <c r="A17" s="8" t="s">
        <v>34</v>
      </c>
      <c r="B17" s="6">
        <v>41.8</v>
      </c>
      <c r="C17" s="6">
        <v>38.4</v>
      </c>
      <c r="D17" s="6">
        <v>32.5</v>
      </c>
      <c r="E17" s="6">
        <v>28.2</v>
      </c>
      <c r="F17" s="6">
        <v>31.4</v>
      </c>
      <c r="G17" s="6">
        <v>31.9</v>
      </c>
      <c r="H17" s="6">
        <v>37.799999999999997</v>
      </c>
      <c r="I17" s="6">
        <v>39.5</v>
      </c>
      <c r="J17" s="6">
        <v>45.7</v>
      </c>
      <c r="K17" s="6">
        <v>43.6</v>
      </c>
      <c r="L17" s="6">
        <v>48.4</v>
      </c>
      <c r="M17" s="6">
        <v>50.2</v>
      </c>
      <c r="N17" s="77">
        <v>46.8</v>
      </c>
      <c r="O17" s="77">
        <v>47.7</v>
      </c>
      <c r="P17" s="77">
        <v>48.2</v>
      </c>
      <c r="Q17" s="77">
        <v>47.7</v>
      </c>
      <c r="R17" s="77">
        <v>59.5</v>
      </c>
      <c r="S17" s="77">
        <v>57</v>
      </c>
      <c r="T17" s="77">
        <v>61.5</v>
      </c>
      <c r="U17" s="77">
        <v>69</v>
      </c>
      <c r="V17" s="77">
        <v>81.75</v>
      </c>
      <c r="W17" s="77">
        <v>81</v>
      </c>
      <c r="X17" s="77">
        <v>84.75</v>
      </c>
      <c r="Y17" s="77">
        <v>85.5</v>
      </c>
      <c r="Z17" s="77">
        <v>92.75</v>
      </c>
      <c r="AA17" s="78">
        <v>81.790000000000006</v>
      </c>
      <c r="AB17" s="77">
        <v>90.2</v>
      </c>
      <c r="AC17" s="77">
        <v>43.89</v>
      </c>
      <c r="AD17" s="77">
        <v>38.130000000000003</v>
      </c>
      <c r="AE17" s="77">
        <v>33.799999999999997</v>
      </c>
      <c r="AF17" s="77">
        <v>27.94</v>
      </c>
      <c r="AG17" s="79">
        <v>28.29</v>
      </c>
      <c r="AH17" s="45"/>
      <c r="AI17" s="45"/>
    </row>
    <row r="18" spans="1:35" x14ac:dyDescent="0.25">
      <c r="A18" s="8" t="s">
        <v>135</v>
      </c>
      <c r="B18" s="82">
        <v>0.65</v>
      </c>
      <c r="C18" s="82">
        <v>0.9</v>
      </c>
      <c r="D18" s="82">
        <v>1.08</v>
      </c>
      <c r="E18" s="82">
        <f>4-(SUM(B18:D18))</f>
        <v>1.37</v>
      </c>
      <c r="F18" s="82">
        <v>0.69</v>
      </c>
      <c r="G18" s="82">
        <v>0.96</v>
      </c>
      <c r="H18" s="82">
        <v>1.1499999999999999</v>
      </c>
      <c r="I18" s="82">
        <f>4.31-(SUM(F18:H18))</f>
        <v>1.5099999999999998</v>
      </c>
      <c r="J18" s="82">
        <v>1.02</v>
      </c>
      <c r="K18" s="82">
        <v>1.29</v>
      </c>
      <c r="L18" s="82">
        <v>1.63</v>
      </c>
      <c r="M18" s="82">
        <f>6.02-(SUM(J18:L18))</f>
        <v>2.0799999999999996</v>
      </c>
      <c r="N18" s="82">
        <v>1.43</v>
      </c>
      <c r="O18" s="82">
        <v>1.66</v>
      </c>
      <c r="P18" s="82">
        <v>1.75</v>
      </c>
      <c r="Q18" s="82">
        <f>7.26-(SUM(N18:P18))</f>
        <v>2.42</v>
      </c>
      <c r="R18" s="82">
        <v>1.57</v>
      </c>
      <c r="S18" s="82">
        <v>2.0299999999999998</v>
      </c>
      <c r="T18" s="82">
        <v>2.16</v>
      </c>
      <c r="U18" s="109">
        <f>8.6-(SUM(R18:T18))</f>
        <v>2.84</v>
      </c>
      <c r="V18" s="82">
        <v>1.74</v>
      </c>
      <c r="W18" s="82">
        <v>2.09</v>
      </c>
      <c r="X18" s="82">
        <v>2.12</v>
      </c>
      <c r="Y18" s="82">
        <f>8.67-(SUM(V18:X18))</f>
        <v>2.7199999999999998</v>
      </c>
      <c r="Z18" s="109">
        <v>0.4</v>
      </c>
      <c r="AA18" s="109">
        <v>0.12</v>
      </c>
      <c r="AB18" s="82">
        <v>0.17</v>
      </c>
      <c r="AC18" s="82">
        <f>-2.05-(SUM(Z18:AB18))</f>
        <v>-2.7399999999999998</v>
      </c>
      <c r="AD18" s="82">
        <v>-0.06</v>
      </c>
      <c r="AE18" s="82">
        <v>-1.17</v>
      </c>
      <c r="AF18" s="82">
        <f>-0.21</f>
        <v>-0.21</v>
      </c>
      <c r="AG18" s="82">
        <f>-1.42-(SUM(AD18:AF18))</f>
        <v>2.0000000000000018E-2</v>
      </c>
    </row>
    <row r="19" spans="1:35" x14ac:dyDescent="0.25">
      <c r="A19" s="10" t="s">
        <v>35</v>
      </c>
      <c r="B19" s="1" t="s">
        <v>61</v>
      </c>
      <c r="C19" s="1" t="s">
        <v>62</v>
      </c>
      <c r="D19" s="1" t="s">
        <v>70</v>
      </c>
      <c r="E19" s="1" t="s">
        <v>63</v>
      </c>
      <c r="F19" s="29" t="s">
        <v>64</v>
      </c>
      <c r="G19" s="29" t="s">
        <v>65</v>
      </c>
      <c r="H19" s="29" t="s">
        <v>66</v>
      </c>
      <c r="I19" s="29" t="s">
        <v>67</v>
      </c>
      <c r="J19" s="1" t="s">
        <v>68</v>
      </c>
      <c r="K19" s="1" t="s">
        <v>69</v>
      </c>
      <c r="L19" s="1" t="s">
        <v>71</v>
      </c>
      <c r="M19" s="1" t="s">
        <v>72</v>
      </c>
      <c r="N19" s="1" t="s">
        <v>14</v>
      </c>
      <c r="O19" s="1" t="s">
        <v>15</v>
      </c>
      <c r="P19" s="1" t="s">
        <v>16</v>
      </c>
      <c r="Q19" s="1" t="s">
        <v>17</v>
      </c>
      <c r="R19" s="4" t="s">
        <v>18</v>
      </c>
      <c r="S19" s="4" t="s">
        <v>19</v>
      </c>
      <c r="T19" s="4" t="s">
        <v>20</v>
      </c>
      <c r="U19" s="4" t="s">
        <v>21</v>
      </c>
      <c r="V19" s="5" t="s">
        <v>22</v>
      </c>
      <c r="W19" s="5" t="s">
        <v>23</v>
      </c>
      <c r="X19" s="5" t="s">
        <v>24</v>
      </c>
      <c r="Y19" s="5" t="s">
        <v>25</v>
      </c>
      <c r="Z19" s="1" t="s">
        <v>26</v>
      </c>
      <c r="AA19" s="1" t="s">
        <v>27</v>
      </c>
      <c r="AB19" s="1" t="s">
        <v>28</v>
      </c>
      <c r="AC19" s="1" t="s">
        <v>29</v>
      </c>
      <c r="AD19" s="4" t="s">
        <v>30</v>
      </c>
      <c r="AE19" s="4" t="s">
        <v>31</v>
      </c>
      <c r="AF19" s="4" t="s">
        <v>32</v>
      </c>
      <c r="AG19" s="4" t="s">
        <v>33</v>
      </c>
    </row>
    <row r="20" spans="1:35" ht="15.75" thickBot="1" x14ac:dyDescent="0.3">
      <c r="A20" s="8" t="s">
        <v>36</v>
      </c>
      <c r="B20" s="46">
        <v>2543553</v>
      </c>
      <c r="C20" s="46">
        <v>2833725</v>
      </c>
      <c r="D20" s="46">
        <v>3109500</v>
      </c>
      <c r="E20" s="46">
        <v>2810455</v>
      </c>
      <c r="F20" s="46">
        <v>3199369</v>
      </c>
      <c r="G20" s="46">
        <v>3511166</v>
      </c>
      <c r="H20" s="46">
        <v>3537266</v>
      </c>
      <c r="I20" s="46">
        <v>3581375</v>
      </c>
      <c r="J20" s="46">
        <v>3972325</v>
      </c>
      <c r="K20" s="46">
        <v>3988503</v>
      </c>
      <c r="L20" s="46">
        <v>4470935</v>
      </c>
      <c r="M20" s="38">
        <v>4403755</v>
      </c>
      <c r="N20" s="26">
        <v>4484304</v>
      </c>
      <c r="O20" s="24">
        <v>5126636</v>
      </c>
      <c r="P20" s="24">
        <v>4639694</v>
      </c>
      <c r="Q20" s="26">
        <v>5677321</v>
      </c>
      <c r="R20" s="93">
        <v>5008633</v>
      </c>
      <c r="S20" s="24">
        <v>5678490</v>
      </c>
      <c r="T20" s="24">
        <v>6183147</v>
      </c>
      <c r="U20" s="22">
        <v>5642133</v>
      </c>
      <c r="V20" s="24">
        <v>5627894</v>
      </c>
      <c r="W20" s="24">
        <v>5972412</v>
      </c>
      <c r="X20" s="26">
        <v>6444936</v>
      </c>
      <c r="Y20" s="26">
        <v>7204301</v>
      </c>
      <c r="Z20" s="26">
        <v>6237265</v>
      </c>
      <c r="AA20" s="26">
        <v>5989688</v>
      </c>
      <c r="AB20" s="26">
        <v>3859864</v>
      </c>
      <c r="AC20" s="25">
        <v>3995018</v>
      </c>
      <c r="AD20" s="22">
        <v>3643221</v>
      </c>
      <c r="AE20" s="22">
        <v>3568387</v>
      </c>
      <c r="AF20" s="22">
        <v>3685136</v>
      </c>
      <c r="AG20" s="25">
        <v>3487654</v>
      </c>
    </row>
    <row r="21" spans="1:35" ht="15.75" thickBot="1" x14ac:dyDescent="0.3">
      <c r="A21" s="8" t="s">
        <v>37</v>
      </c>
      <c r="B21" s="46">
        <v>1123452</v>
      </c>
      <c r="C21" s="46">
        <v>1260954</v>
      </c>
      <c r="D21" s="46">
        <v>1306194</v>
      </c>
      <c r="E21" s="46">
        <v>1197364</v>
      </c>
      <c r="F21" s="46">
        <v>1355173</v>
      </c>
      <c r="G21" s="46">
        <v>1526934</v>
      </c>
      <c r="H21" s="46">
        <v>1432235</v>
      </c>
      <c r="I21" s="46">
        <v>1754253</v>
      </c>
      <c r="J21" s="46">
        <v>1898497</v>
      </c>
      <c r="K21" s="46">
        <v>1678646</v>
      </c>
      <c r="L21" s="46">
        <v>1898321</v>
      </c>
      <c r="M21" s="38">
        <v>2126130</v>
      </c>
      <c r="N21" s="26">
        <v>2195170</v>
      </c>
      <c r="O21" s="24">
        <v>2648885</v>
      </c>
      <c r="P21" s="24">
        <v>2167414</v>
      </c>
      <c r="Q21" s="26">
        <v>2675949</v>
      </c>
      <c r="R21" s="93">
        <v>2395548</v>
      </c>
      <c r="S21" s="24">
        <v>2722632</v>
      </c>
      <c r="T21" s="24">
        <v>3196715</v>
      </c>
      <c r="U21" s="22">
        <v>3608327</v>
      </c>
      <c r="V21" s="24">
        <v>2899241</v>
      </c>
      <c r="W21" s="24">
        <v>2984913</v>
      </c>
      <c r="X21" s="26">
        <v>3085929</v>
      </c>
      <c r="Y21" s="26">
        <v>3272604</v>
      </c>
      <c r="Z21" s="26">
        <v>3103061</v>
      </c>
      <c r="AA21" s="26">
        <v>2902079</v>
      </c>
      <c r="AB21" s="26">
        <v>1677019</v>
      </c>
      <c r="AC21" s="25">
        <v>1095866</v>
      </c>
      <c r="AD21" s="22">
        <v>1742635</v>
      </c>
      <c r="AE21" s="22">
        <v>1619205</v>
      </c>
      <c r="AF21" s="22">
        <v>1528343</v>
      </c>
      <c r="AG21" s="25">
        <v>1353672</v>
      </c>
    </row>
    <row r="22" spans="1:35" ht="15.75" thickBot="1" x14ac:dyDescent="0.3">
      <c r="A22" s="8" t="s">
        <v>38</v>
      </c>
      <c r="B22" s="46">
        <v>1420101</v>
      </c>
      <c r="C22" s="46">
        <v>1572771</v>
      </c>
      <c r="D22" s="46">
        <v>1803306</v>
      </c>
      <c r="E22" s="46">
        <v>1613091</v>
      </c>
      <c r="F22" s="46">
        <v>1844196</v>
      </c>
      <c r="G22" s="46">
        <v>1984232</v>
      </c>
      <c r="H22" s="46">
        <v>2105031</v>
      </c>
      <c r="I22" s="46">
        <v>1827122</v>
      </c>
      <c r="J22" s="46">
        <v>2073828</v>
      </c>
      <c r="K22" s="46">
        <v>2309857</v>
      </c>
      <c r="L22" s="46">
        <v>2572614</v>
      </c>
      <c r="M22" s="38">
        <v>2277626</v>
      </c>
      <c r="N22" s="26">
        <v>2289134</v>
      </c>
      <c r="O22" s="24">
        <v>2477751</v>
      </c>
      <c r="P22" s="24">
        <v>2472280</v>
      </c>
      <c r="Q22" s="26">
        <v>3001375</v>
      </c>
      <c r="R22" s="93">
        <v>2613085</v>
      </c>
      <c r="S22" s="24">
        <v>1955858</v>
      </c>
      <c r="T22" s="24">
        <v>2966432</v>
      </c>
      <c r="U22" s="22">
        <v>2033806</v>
      </c>
      <c r="V22" s="24">
        <v>2728653</v>
      </c>
      <c r="W22" s="24">
        <v>2987499</v>
      </c>
      <c r="X22" s="26">
        <v>3359007</v>
      </c>
      <c r="Y22" s="26">
        <v>3931697</v>
      </c>
      <c r="Z22" s="26">
        <v>3134204</v>
      </c>
      <c r="AA22" s="26">
        <v>3087609</v>
      </c>
      <c r="AB22" s="26">
        <v>2182845</v>
      </c>
      <c r="AC22" s="25">
        <v>2899152</v>
      </c>
      <c r="AD22" s="22">
        <v>1900586</v>
      </c>
      <c r="AE22" s="22">
        <v>1949182</v>
      </c>
      <c r="AF22" s="22">
        <v>2156793</v>
      </c>
      <c r="AG22" s="25">
        <v>2133982</v>
      </c>
    </row>
    <row r="23" spans="1:35" ht="15.75" thickBot="1" x14ac:dyDescent="0.3">
      <c r="A23" s="8" t="s">
        <v>39</v>
      </c>
      <c r="B23" s="46">
        <v>5236</v>
      </c>
      <c r="C23" s="46">
        <v>2723</v>
      </c>
      <c r="D23" s="46">
        <v>19221</v>
      </c>
      <c r="E23" s="46">
        <v>23246</v>
      </c>
      <c r="F23" s="46">
        <v>11106</v>
      </c>
      <c r="G23" s="46">
        <v>831</v>
      </c>
      <c r="H23" s="46">
        <v>5866</v>
      </c>
      <c r="I23" s="46">
        <v>5727</v>
      </c>
      <c r="J23" s="46">
        <v>31005</v>
      </c>
      <c r="K23" s="46">
        <v>4404</v>
      </c>
      <c r="L23" s="46">
        <v>29316</v>
      </c>
      <c r="M23" s="38">
        <v>6885</v>
      </c>
      <c r="N23" s="26">
        <v>6908</v>
      </c>
      <c r="O23" s="24">
        <v>20148</v>
      </c>
      <c r="P23" s="24">
        <v>0</v>
      </c>
      <c r="Q23" s="26">
        <v>45721</v>
      </c>
      <c r="R23" s="93">
        <v>6325</v>
      </c>
      <c r="S23" s="24">
        <v>25672</v>
      </c>
      <c r="T23" s="24">
        <v>16437</v>
      </c>
      <c r="U23" s="22">
        <v>64839</v>
      </c>
      <c r="V23" s="24">
        <v>54545</v>
      </c>
      <c r="W23" s="24">
        <v>43578</v>
      </c>
      <c r="X23" s="26">
        <v>34367</v>
      </c>
      <c r="Y23" s="26">
        <v>66046</v>
      </c>
      <c r="Z23" s="26">
        <v>12788</v>
      </c>
      <c r="AA23" s="26">
        <v>111701</v>
      </c>
      <c r="AB23" s="26">
        <v>108602</v>
      </c>
      <c r="AC23" s="25">
        <v>83782</v>
      </c>
      <c r="AD23" s="22">
        <v>14757</v>
      </c>
      <c r="AE23" s="22">
        <v>70001</v>
      </c>
      <c r="AF23" s="22">
        <v>22353</v>
      </c>
      <c r="AG23" s="25">
        <v>14085</v>
      </c>
    </row>
    <row r="24" spans="1:35" ht="15.75" thickBot="1" x14ac:dyDescent="0.3">
      <c r="A24" s="8" t="s">
        <v>40</v>
      </c>
      <c r="B24" s="46">
        <v>2110835</v>
      </c>
      <c r="C24" s="46">
        <v>2221846</v>
      </c>
      <c r="D24" s="46">
        <v>2226531</v>
      </c>
      <c r="E24" s="46">
        <v>2166493</v>
      </c>
      <c r="F24" s="46">
        <v>2194755</v>
      </c>
      <c r="G24" s="46">
        <v>2207393</v>
      </c>
      <c r="H24" s="46">
        <v>2198033</v>
      </c>
      <c r="I24" s="46">
        <v>2215385</v>
      </c>
      <c r="J24" s="46">
        <v>2250974</v>
      </c>
      <c r="K24" s="46">
        <v>2125495</v>
      </c>
      <c r="L24" s="46">
        <v>2309857</v>
      </c>
      <c r="M24" s="38">
        <v>2253483</v>
      </c>
      <c r="N24" s="26">
        <v>2296042</v>
      </c>
      <c r="O24" s="24">
        <v>2497899</v>
      </c>
      <c r="P24" s="24">
        <v>2472280</v>
      </c>
      <c r="Q24" s="26">
        <v>2071793</v>
      </c>
      <c r="R24" s="93">
        <v>2619410</v>
      </c>
      <c r="S24" s="24">
        <v>1981530</v>
      </c>
      <c r="T24" s="24">
        <v>2982869</v>
      </c>
      <c r="U24" s="22">
        <v>3098645</v>
      </c>
      <c r="V24" s="24">
        <v>2783198</v>
      </c>
      <c r="W24" s="24">
        <v>3654902</v>
      </c>
      <c r="X24" s="26">
        <v>3393374</v>
      </c>
      <c r="Y24" s="26">
        <v>3997743</v>
      </c>
      <c r="Z24" s="26">
        <v>3146992</v>
      </c>
      <c r="AA24" s="26">
        <v>3199310</v>
      </c>
      <c r="AB24" s="26">
        <v>3365922</v>
      </c>
      <c r="AC24" s="25">
        <v>3982934</v>
      </c>
      <c r="AD24" s="22">
        <v>1915343</v>
      </c>
      <c r="AE24" s="22">
        <v>2019183</v>
      </c>
      <c r="AF24" s="22">
        <v>2179146</v>
      </c>
      <c r="AG24" s="25">
        <v>2148067</v>
      </c>
    </row>
    <row r="25" spans="1:35" ht="15.75" thickBot="1" x14ac:dyDescent="0.3">
      <c r="A25" s="8" t="s">
        <v>56</v>
      </c>
      <c r="B25" s="46">
        <v>372883</v>
      </c>
      <c r="C25" s="46">
        <v>379048</v>
      </c>
      <c r="D25" s="46">
        <v>340981</v>
      </c>
      <c r="E25" s="46">
        <v>358891</v>
      </c>
      <c r="F25" s="46">
        <v>465867</v>
      </c>
      <c r="G25" s="46">
        <v>476264</v>
      </c>
      <c r="H25" s="46">
        <v>316151</v>
      </c>
      <c r="I25" s="46">
        <v>396718</v>
      </c>
      <c r="J25" s="46">
        <v>375771</v>
      </c>
      <c r="K25" s="46">
        <v>394730</v>
      </c>
      <c r="L25" s="46">
        <v>392191</v>
      </c>
      <c r="M25" s="38">
        <v>429975</v>
      </c>
      <c r="N25" s="26">
        <v>431665</v>
      </c>
      <c r="O25" s="26">
        <v>461767</v>
      </c>
      <c r="P25" s="26">
        <v>407031</v>
      </c>
      <c r="Q25" s="26">
        <v>473794</v>
      </c>
      <c r="R25" s="125">
        <v>483756</v>
      </c>
      <c r="S25" s="26">
        <v>543954</v>
      </c>
      <c r="T25" s="26">
        <v>454141</v>
      </c>
      <c r="U25" s="25">
        <v>405322</v>
      </c>
      <c r="V25" s="26">
        <v>399311</v>
      </c>
      <c r="W25" s="26">
        <v>328757</v>
      </c>
      <c r="X25" s="26">
        <v>530626</v>
      </c>
      <c r="Y25" s="26">
        <v>956545</v>
      </c>
      <c r="Z25" s="26">
        <v>466118</v>
      </c>
      <c r="AA25" s="26">
        <v>579190</v>
      </c>
      <c r="AB25" s="26">
        <v>749530</v>
      </c>
      <c r="AC25" s="25">
        <v>895019</v>
      </c>
      <c r="AD25" s="25">
        <v>601348</v>
      </c>
      <c r="AE25" s="25">
        <v>1445348</v>
      </c>
      <c r="AF25" s="25">
        <v>984363</v>
      </c>
      <c r="AG25" s="25">
        <v>726332</v>
      </c>
    </row>
    <row r="26" spans="1:35" ht="15.75" thickBot="1" x14ac:dyDescent="0.3">
      <c r="A26" s="8" t="s">
        <v>55</v>
      </c>
      <c r="B26" s="46">
        <v>316354</v>
      </c>
      <c r="C26" s="46">
        <v>319472</v>
      </c>
      <c r="D26" s="46">
        <v>322638</v>
      </c>
      <c r="E26" s="46">
        <v>330638</v>
      </c>
      <c r="F26" s="46">
        <v>311630</v>
      </c>
      <c r="G26" s="46">
        <v>326648</v>
      </c>
      <c r="H26" s="46">
        <v>338974</v>
      </c>
      <c r="I26" s="46">
        <v>320041</v>
      </c>
      <c r="J26" s="46">
        <v>307451</v>
      </c>
      <c r="K26" s="46">
        <v>299846</v>
      </c>
      <c r="L26" s="46">
        <v>331274</v>
      </c>
      <c r="M26" s="38">
        <v>337644</v>
      </c>
      <c r="N26" s="26">
        <v>280295</v>
      </c>
      <c r="O26" s="26">
        <v>256360</v>
      </c>
      <c r="P26" s="26">
        <v>252337</v>
      </c>
      <c r="Q26" s="26">
        <v>397956</v>
      </c>
      <c r="R26" s="125">
        <v>318578</v>
      </c>
      <c r="S26" s="26">
        <v>372417</v>
      </c>
      <c r="T26" s="26">
        <v>332585</v>
      </c>
      <c r="U26" s="25">
        <v>391884</v>
      </c>
      <c r="V26" s="26">
        <v>354601</v>
      </c>
      <c r="W26" s="26">
        <v>346522</v>
      </c>
      <c r="X26" s="26">
        <v>402862</v>
      </c>
      <c r="Y26" s="26">
        <v>427238</v>
      </c>
      <c r="Z26" s="26">
        <v>394061</v>
      </c>
      <c r="AA26" s="26">
        <v>420139</v>
      </c>
      <c r="AB26" s="26">
        <v>425344</v>
      </c>
      <c r="AC26" s="25">
        <v>603411</v>
      </c>
      <c r="AD26" s="25">
        <v>367697</v>
      </c>
      <c r="AE26" s="25">
        <v>427239</v>
      </c>
      <c r="AF26" s="25">
        <v>351643</v>
      </c>
      <c r="AG26" s="25">
        <v>295143</v>
      </c>
    </row>
    <row r="27" spans="1:35" ht="15.75" thickBot="1" x14ac:dyDescent="0.3">
      <c r="A27" s="8" t="s">
        <v>42</v>
      </c>
      <c r="B27" s="46">
        <v>530856</v>
      </c>
      <c r="C27" s="46">
        <v>543783</v>
      </c>
      <c r="D27" s="46">
        <v>540096</v>
      </c>
      <c r="E27" s="46">
        <v>543371</v>
      </c>
      <c r="F27" s="46">
        <v>533804</v>
      </c>
      <c r="G27" s="46">
        <v>521384</v>
      </c>
      <c r="H27" s="46">
        <v>543829</v>
      </c>
      <c r="I27" s="46">
        <v>544390</v>
      </c>
      <c r="J27" s="46">
        <v>555382</v>
      </c>
      <c r="K27" s="46">
        <v>561084</v>
      </c>
      <c r="L27" s="46">
        <v>554191</v>
      </c>
      <c r="M27" s="38">
        <v>533974</v>
      </c>
      <c r="N27" s="26">
        <v>523508</v>
      </c>
      <c r="O27" s="24">
        <v>536300</v>
      </c>
      <c r="P27" s="24">
        <v>538864</v>
      </c>
      <c r="Q27" s="26">
        <v>547963</v>
      </c>
      <c r="R27" s="93">
        <v>557251</v>
      </c>
      <c r="S27" s="24">
        <v>571754</v>
      </c>
      <c r="T27" s="24">
        <v>630608</v>
      </c>
      <c r="U27" s="22">
        <v>698949</v>
      </c>
      <c r="V27" s="24">
        <v>612839</v>
      </c>
      <c r="W27" s="24">
        <v>660262</v>
      </c>
      <c r="X27" s="26">
        <v>684138</v>
      </c>
      <c r="Y27" s="26">
        <v>544638</v>
      </c>
      <c r="Z27" s="26">
        <v>763081</v>
      </c>
      <c r="AA27" s="26">
        <v>789925</v>
      </c>
      <c r="AB27" s="26">
        <v>880957</v>
      </c>
      <c r="AC27" s="25">
        <v>532855</v>
      </c>
      <c r="AD27" s="22">
        <v>881556</v>
      </c>
      <c r="AE27" s="22">
        <v>893596</v>
      </c>
      <c r="AF27" s="22">
        <v>870826</v>
      </c>
      <c r="AG27" s="25">
        <v>979369</v>
      </c>
    </row>
    <row r="28" spans="1:35" ht="15.75" thickBot="1" x14ac:dyDescent="0.3">
      <c r="A28" s="8" t="s">
        <v>43</v>
      </c>
      <c r="B28" s="46">
        <v>76453</v>
      </c>
      <c r="C28" s="46">
        <v>74977</v>
      </c>
      <c r="D28" s="46">
        <v>74975</v>
      </c>
      <c r="E28" s="46">
        <v>75132</v>
      </c>
      <c r="F28" s="46">
        <v>75543</v>
      </c>
      <c r="G28" s="46">
        <v>77493</v>
      </c>
      <c r="H28" s="46">
        <v>76493</v>
      </c>
      <c r="I28" s="46">
        <v>40180</v>
      </c>
      <c r="J28" s="46">
        <v>42619</v>
      </c>
      <c r="K28" s="46">
        <v>98644</v>
      </c>
      <c r="L28" s="46">
        <v>399857</v>
      </c>
      <c r="M28" s="38">
        <v>39872</v>
      </c>
      <c r="N28" s="26">
        <v>39920</v>
      </c>
      <c r="O28" s="24">
        <v>42947</v>
      </c>
      <c r="P28" s="24">
        <v>473877</v>
      </c>
      <c r="Q28" s="26">
        <v>44320</v>
      </c>
      <c r="R28" s="93">
        <v>43094</v>
      </c>
      <c r="S28" s="24">
        <v>54903</v>
      </c>
      <c r="T28" s="24">
        <v>41877</v>
      </c>
      <c r="U28" s="22">
        <v>414937</v>
      </c>
      <c r="V28" s="24">
        <v>44152</v>
      </c>
      <c r="W28" s="24">
        <v>48657</v>
      </c>
      <c r="X28" s="26">
        <v>586570</v>
      </c>
      <c r="Y28" s="26">
        <v>1005942</v>
      </c>
      <c r="Z28" s="26">
        <v>526676</v>
      </c>
      <c r="AA28" s="26">
        <v>634296</v>
      </c>
      <c r="AB28" s="26">
        <v>64485</v>
      </c>
      <c r="AC28" s="25">
        <v>612423</v>
      </c>
      <c r="AD28" s="22">
        <v>668869</v>
      </c>
      <c r="AE28" s="22">
        <v>1503656</v>
      </c>
      <c r="AF28" s="22">
        <v>1105315</v>
      </c>
      <c r="AG28" s="25">
        <v>840978</v>
      </c>
    </row>
    <row r="29" spans="1:35" ht="15.75" thickBot="1" x14ac:dyDescent="0.3">
      <c r="A29" s="8" t="s">
        <v>44</v>
      </c>
      <c r="B29" s="46">
        <v>1241974</v>
      </c>
      <c r="C29" s="46">
        <v>1256397</v>
      </c>
      <c r="D29" s="46">
        <v>1266538</v>
      </c>
      <c r="E29" s="46">
        <v>1289745</v>
      </c>
      <c r="F29" s="46">
        <v>1271087</v>
      </c>
      <c r="G29" s="46">
        <v>1286400</v>
      </c>
      <c r="H29" s="46">
        <v>12596044</v>
      </c>
      <c r="I29" s="46">
        <v>1217964</v>
      </c>
      <c r="J29" s="46">
        <v>1221745</v>
      </c>
      <c r="K29" s="46">
        <v>1209477</v>
      </c>
      <c r="L29" s="46">
        <v>11375638</v>
      </c>
      <c r="M29" s="38">
        <v>1084764</v>
      </c>
      <c r="N29" s="26">
        <v>1053666</v>
      </c>
      <c r="O29" s="24">
        <v>1254427</v>
      </c>
      <c r="P29" s="24">
        <v>1371034</v>
      </c>
      <c r="Q29" s="26">
        <v>1282071</v>
      </c>
      <c r="R29" s="93">
        <v>1253500</v>
      </c>
      <c r="S29" s="24">
        <v>1488125</v>
      </c>
      <c r="T29" s="24">
        <v>1417334</v>
      </c>
      <c r="U29" s="22">
        <v>1011092</v>
      </c>
      <c r="V29" s="24">
        <v>1366751</v>
      </c>
      <c r="W29" s="24">
        <v>1335541</v>
      </c>
      <c r="X29" s="26">
        <v>1673570</v>
      </c>
      <c r="Y29" s="26">
        <v>1981695</v>
      </c>
      <c r="Z29" s="26">
        <v>1682944</v>
      </c>
      <c r="AA29" s="26">
        <v>1843651</v>
      </c>
      <c r="AB29" s="26">
        <v>2055831</v>
      </c>
      <c r="AC29" s="25">
        <v>2518234</v>
      </c>
      <c r="AD29" s="22">
        <v>1918122</v>
      </c>
      <c r="AE29" s="22">
        <v>2824491</v>
      </c>
      <c r="AF29" s="22">
        <v>2327784</v>
      </c>
      <c r="AG29" s="25">
        <v>2115490</v>
      </c>
    </row>
    <row r="30" spans="1:35" ht="15.75" thickBot="1" x14ac:dyDescent="0.3">
      <c r="A30" s="8" t="s">
        <v>45</v>
      </c>
      <c r="B30" s="46">
        <v>473046</v>
      </c>
      <c r="C30" s="46">
        <v>569274</v>
      </c>
      <c r="D30" s="46">
        <v>811407</v>
      </c>
      <c r="E30" s="46">
        <v>512410</v>
      </c>
      <c r="F30" s="46">
        <v>701375</v>
      </c>
      <c r="G30" s="46">
        <v>843865</v>
      </c>
      <c r="H30" s="46">
        <v>1089949</v>
      </c>
      <c r="I30" s="46">
        <v>751792</v>
      </c>
      <c r="J30" s="46">
        <v>938720</v>
      </c>
      <c r="K30" s="46">
        <v>1171089</v>
      </c>
      <c r="L30" s="46">
        <v>1482827</v>
      </c>
      <c r="M30" s="38">
        <v>1023581</v>
      </c>
      <c r="N30" s="26">
        <v>1020654</v>
      </c>
      <c r="O30" s="24">
        <v>1200525</v>
      </c>
      <c r="P30" s="24">
        <v>1448258</v>
      </c>
      <c r="Q30" s="26">
        <v>1305735</v>
      </c>
      <c r="R30" s="93">
        <v>1230730</v>
      </c>
      <c r="S30" s="24">
        <v>1438502</v>
      </c>
      <c r="T30" s="24">
        <v>1543658</v>
      </c>
      <c r="U30" s="22">
        <v>1087553</v>
      </c>
      <c r="V30" s="24">
        <v>1372291</v>
      </c>
      <c r="W30" s="24">
        <v>1646879</v>
      </c>
      <c r="X30" s="26">
        <v>1719804</v>
      </c>
      <c r="Y30" s="26">
        <v>2016048</v>
      </c>
      <c r="Z30" s="26">
        <v>1464048</v>
      </c>
      <c r="AA30" s="26">
        <v>1355659</v>
      </c>
      <c r="AB30" s="26">
        <v>171131</v>
      </c>
      <c r="AC30" s="25">
        <v>-405324</v>
      </c>
      <c r="AD30" s="22">
        <v>-2779</v>
      </c>
      <c r="AE30" s="22">
        <v>-805308</v>
      </c>
      <c r="AF30" s="22">
        <v>-148638</v>
      </c>
      <c r="AG30" s="25">
        <v>32577</v>
      </c>
    </row>
    <row r="31" spans="1:35" ht="15.75" thickBot="1" x14ac:dyDescent="0.3">
      <c r="A31" s="8" t="s">
        <v>46</v>
      </c>
      <c r="B31" s="46">
        <v>24639</v>
      </c>
      <c r="C31" s="46">
        <v>29844</v>
      </c>
      <c r="D31" s="46">
        <v>33475</v>
      </c>
      <c r="E31" s="46">
        <v>32248</v>
      </c>
      <c r="F31" s="46">
        <v>26643</v>
      </c>
      <c r="G31" s="46">
        <v>37014</v>
      </c>
      <c r="H31" s="46">
        <v>38022</v>
      </c>
      <c r="I31" s="46">
        <v>37728</v>
      </c>
      <c r="J31" s="46">
        <v>37696</v>
      </c>
      <c r="K31" s="46">
        <v>33578</v>
      </c>
      <c r="L31" s="46">
        <v>23984</v>
      </c>
      <c r="M31" s="38">
        <v>28746</v>
      </c>
      <c r="N31" s="26">
        <v>22420</v>
      </c>
      <c r="O31" s="24">
        <v>36456</v>
      </c>
      <c r="P31" s="24">
        <v>41950</v>
      </c>
      <c r="Q31" s="26">
        <v>24301</v>
      </c>
      <c r="R31" s="93">
        <v>23282</v>
      </c>
      <c r="S31" s="24">
        <v>17244</v>
      </c>
      <c r="T31" s="24">
        <v>32250</v>
      </c>
      <c r="U31" s="22">
        <v>69900</v>
      </c>
      <c r="V31" s="24">
        <v>32653</v>
      </c>
      <c r="W31" s="24">
        <v>35837</v>
      </c>
      <c r="X31" s="26">
        <v>33200</v>
      </c>
      <c r="Y31" s="26">
        <v>-23221</v>
      </c>
      <c r="Z31" s="26">
        <v>64422</v>
      </c>
      <c r="AA31" s="26">
        <v>43764</v>
      </c>
      <c r="AB31" s="26">
        <v>41672</v>
      </c>
      <c r="AC31" s="25">
        <v>40505</v>
      </c>
      <c r="AD31" s="22">
        <v>41743</v>
      </c>
      <c r="AE31" s="22">
        <v>95597</v>
      </c>
      <c r="AF31" s="22">
        <v>9650</v>
      </c>
      <c r="AG31" s="25">
        <v>21987</v>
      </c>
    </row>
    <row r="32" spans="1:35" ht="15.75" thickBot="1" x14ac:dyDescent="0.3">
      <c r="A32" s="8" t="s">
        <v>47</v>
      </c>
      <c r="B32" s="46">
        <v>448407</v>
      </c>
      <c r="C32" s="46">
        <v>539430</v>
      </c>
      <c r="D32" s="46">
        <v>777932</v>
      </c>
      <c r="E32" s="46">
        <v>480162</v>
      </c>
      <c r="F32" s="46">
        <v>674932</v>
      </c>
      <c r="G32" s="46">
        <v>806851</v>
      </c>
      <c r="H32" s="46">
        <v>1051927</v>
      </c>
      <c r="I32" s="46">
        <v>714064</v>
      </c>
      <c r="J32" s="46">
        <v>901024</v>
      </c>
      <c r="K32" s="46">
        <v>1137511</v>
      </c>
      <c r="L32" s="46">
        <v>1458843</v>
      </c>
      <c r="M32" s="38">
        <v>994835</v>
      </c>
      <c r="N32" s="38">
        <v>998234</v>
      </c>
      <c r="O32" s="46">
        <v>1164069</v>
      </c>
      <c r="P32" s="46">
        <v>1223768</v>
      </c>
      <c r="Q32" s="38">
        <v>1281434</v>
      </c>
      <c r="R32" s="93">
        <v>1207449</v>
      </c>
      <c r="S32" s="49">
        <v>1421258</v>
      </c>
      <c r="T32" s="46">
        <v>1511408</v>
      </c>
      <c r="U32" s="22">
        <v>1017653</v>
      </c>
      <c r="V32" s="46">
        <v>1339638</v>
      </c>
      <c r="W32" s="46">
        <v>1611042</v>
      </c>
      <c r="X32" s="38">
        <v>1686604</v>
      </c>
      <c r="Y32" s="38">
        <v>2039269</v>
      </c>
      <c r="Z32" s="38">
        <v>1399626</v>
      </c>
      <c r="AA32" s="38">
        <v>1311895</v>
      </c>
      <c r="AB32" s="38">
        <v>129459</v>
      </c>
      <c r="AC32" s="25">
        <v>-1575805</v>
      </c>
      <c r="AD32" s="22">
        <v>-44522</v>
      </c>
      <c r="AE32" s="22">
        <v>-900905</v>
      </c>
      <c r="AF32" s="22">
        <v>-158288</v>
      </c>
      <c r="AG32" s="25">
        <v>10590</v>
      </c>
    </row>
    <row r="33" spans="1:33" x14ac:dyDescent="0.25">
      <c r="A33" s="8" t="s">
        <v>48</v>
      </c>
      <c r="B33" s="46">
        <v>3200</v>
      </c>
      <c r="C33" s="46">
        <v>3200</v>
      </c>
      <c r="D33" s="46">
        <v>3200</v>
      </c>
      <c r="E33" s="46">
        <v>3200</v>
      </c>
      <c r="F33" s="46">
        <v>3250</v>
      </c>
      <c r="G33" s="46">
        <v>3250</v>
      </c>
      <c r="H33" s="46">
        <v>3250</v>
      </c>
      <c r="I33" s="46">
        <v>3250</v>
      </c>
      <c r="J33" s="46">
        <v>3630</v>
      </c>
      <c r="K33" s="46">
        <v>3630</v>
      </c>
      <c r="L33" s="46">
        <v>3630</v>
      </c>
      <c r="M33" s="46">
        <v>3630</v>
      </c>
      <c r="N33" s="26">
        <v>3600</v>
      </c>
      <c r="O33" s="26">
        <v>3600</v>
      </c>
      <c r="P33" s="26">
        <v>3600</v>
      </c>
      <c r="Q33" s="26">
        <v>3600</v>
      </c>
      <c r="R33" s="126">
        <v>3623</v>
      </c>
      <c r="S33" s="126">
        <v>3623</v>
      </c>
      <c r="T33" s="33">
        <v>3623</v>
      </c>
      <c r="U33" s="33">
        <v>3623</v>
      </c>
      <c r="V33" s="33">
        <v>2672</v>
      </c>
      <c r="W33" s="33">
        <v>2672</v>
      </c>
      <c r="X33" s="33">
        <v>2672</v>
      </c>
      <c r="Y33" s="33">
        <v>2672</v>
      </c>
      <c r="Z33" s="33">
        <v>3680</v>
      </c>
      <c r="AA33" s="33">
        <v>3680</v>
      </c>
      <c r="AB33" s="33">
        <v>3680</v>
      </c>
      <c r="AC33" s="33">
        <v>3680</v>
      </c>
      <c r="AD33" s="33">
        <v>3700</v>
      </c>
      <c r="AE33" s="33">
        <v>3700</v>
      </c>
      <c r="AF33" s="33">
        <v>3700</v>
      </c>
      <c r="AG33" s="33">
        <v>3700</v>
      </c>
    </row>
    <row r="34" spans="1:33" x14ac:dyDescent="0.25">
      <c r="A34" s="8" t="s">
        <v>75</v>
      </c>
      <c r="B34" s="45">
        <v>53</v>
      </c>
      <c r="C34" s="45">
        <v>53</v>
      </c>
      <c r="D34" s="45">
        <v>53</v>
      </c>
      <c r="E34" s="45">
        <v>53</v>
      </c>
      <c r="F34" s="45">
        <v>53</v>
      </c>
      <c r="G34" s="45">
        <v>53</v>
      </c>
      <c r="H34" s="45">
        <v>53</v>
      </c>
      <c r="I34" s="45">
        <v>53</v>
      </c>
      <c r="J34" s="45">
        <v>51</v>
      </c>
      <c r="K34" s="45">
        <v>51</v>
      </c>
      <c r="L34" s="45">
        <v>51</v>
      </c>
      <c r="M34" s="45">
        <v>51</v>
      </c>
      <c r="N34" s="43">
        <v>36</v>
      </c>
      <c r="O34" s="43">
        <v>36</v>
      </c>
      <c r="P34" s="43">
        <v>36</v>
      </c>
      <c r="Q34" s="43">
        <v>36</v>
      </c>
      <c r="R34" s="43">
        <v>40</v>
      </c>
      <c r="S34" s="43">
        <v>40</v>
      </c>
      <c r="T34" s="43">
        <v>40</v>
      </c>
      <c r="U34" s="43">
        <v>40</v>
      </c>
      <c r="V34" s="46">
        <v>48</v>
      </c>
      <c r="W34" s="46">
        <v>48</v>
      </c>
      <c r="X34" s="46">
        <v>48</v>
      </c>
      <c r="Y34" s="46">
        <v>48</v>
      </c>
      <c r="Z34" s="38">
        <v>57</v>
      </c>
      <c r="AA34" s="38">
        <v>57</v>
      </c>
      <c r="AB34" s="38">
        <v>57</v>
      </c>
      <c r="AC34" s="38">
        <v>57</v>
      </c>
      <c r="AD34" s="33">
        <v>49</v>
      </c>
      <c r="AE34" s="33">
        <v>49</v>
      </c>
      <c r="AF34" s="33">
        <v>49</v>
      </c>
      <c r="AG34" s="33">
        <v>49</v>
      </c>
    </row>
    <row r="35" spans="1:33" s="8" customFormat="1" x14ac:dyDescent="0.25">
      <c r="A35" s="8" t="s">
        <v>76</v>
      </c>
      <c r="B35" s="45">
        <v>4.3</v>
      </c>
      <c r="C35" s="45">
        <v>4.3</v>
      </c>
      <c r="D35" s="45">
        <v>4.3</v>
      </c>
      <c r="E35" s="45">
        <v>4.3</v>
      </c>
      <c r="F35" s="45">
        <v>4.3</v>
      </c>
      <c r="G35" s="45">
        <v>4.3</v>
      </c>
      <c r="H35" s="45">
        <v>4.3</v>
      </c>
      <c r="I35" s="45">
        <v>4.3</v>
      </c>
      <c r="J35" s="45">
        <v>4.5</v>
      </c>
      <c r="K35" s="45">
        <v>4.5</v>
      </c>
      <c r="L35" s="45">
        <v>4.5</v>
      </c>
      <c r="M35" s="45">
        <v>4.5</v>
      </c>
      <c r="N35" s="43">
        <v>4.8</v>
      </c>
      <c r="O35" s="43">
        <v>4.8</v>
      </c>
      <c r="P35" s="43">
        <v>4.8</v>
      </c>
      <c r="Q35" s="43">
        <v>4.8</v>
      </c>
      <c r="R35" s="43">
        <v>4.8</v>
      </c>
      <c r="S35" s="43">
        <v>4.8</v>
      </c>
      <c r="T35" s="43">
        <v>4.8</v>
      </c>
      <c r="U35" s="43">
        <v>4.8</v>
      </c>
      <c r="V35" s="47">
        <v>4.7</v>
      </c>
      <c r="W35" s="47">
        <v>4.7</v>
      </c>
      <c r="X35" s="47">
        <v>4.7</v>
      </c>
      <c r="Y35" s="47">
        <v>4.7</v>
      </c>
      <c r="Z35" s="39">
        <v>4.5999999999999996</v>
      </c>
      <c r="AA35" s="39">
        <v>4.5999999999999996</v>
      </c>
      <c r="AB35" s="39">
        <v>4.5999999999999996</v>
      </c>
      <c r="AC35" s="39">
        <v>4.5999999999999996</v>
      </c>
      <c r="AD35" s="40">
        <v>4.7</v>
      </c>
      <c r="AE35" s="40">
        <v>4.7</v>
      </c>
      <c r="AF35" s="40">
        <v>4.7</v>
      </c>
      <c r="AG35" s="40">
        <v>4.7</v>
      </c>
    </row>
    <row r="36" spans="1:33" x14ac:dyDescent="0.25">
      <c r="A36" s="8" t="s">
        <v>57</v>
      </c>
      <c r="B36" s="45">
        <v>34</v>
      </c>
      <c r="C36" s="45">
        <v>34</v>
      </c>
      <c r="D36" s="45">
        <v>34</v>
      </c>
      <c r="E36" s="45">
        <v>34</v>
      </c>
      <c r="F36" s="45">
        <v>29</v>
      </c>
      <c r="G36" s="45">
        <v>29</v>
      </c>
      <c r="H36" s="45">
        <v>29</v>
      </c>
      <c r="I36" s="45">
        <v>29</v>
      </c>
      <c r="J36" s="45">
        <v>10</v>
      </c>
      <c r="K36" s="45">
        <v>10</v>
      </c>
      <c r="L36" s="45">
        <v>10</v>
      </c>
      <c r="M36" s="45">
        <v>10</v>
      </c>
      <c r="N36" s="71">
        <v>4</v>
      </c>
      <c r="O36" s="71">
        <v>4</v>
      </c>
      <c r="P36" s="71">
        <v>4</v>
      </c>
      <c r="Q36" s="71">
        <v>4</v>
      </c>
      <c r="R36" s="71">
        <v>14</v>
      </c>
      <c r="S36" s="71">
        <v>14</v>
      </c>
      <c r="T36" s="71">
        <v>14</v>
      </c>
      <c r="U36" s="71">
        <v>14</v>
      </c>
      <c r="V36" s="46">
        <v>27</v>
      </c>
      <c r="W36" s="46">
        <v>27</v>
      </c>
      <c r="X36" s="46">
        <v>27</v>
      </c>
      <c r="Y36" s="46">
        <v>27</v>
      </c>
      <c r="Z36" s="38">
        <v>35</v>
      </c>
      <c r="AA36" s="38">
        <v>35</v>
      </c>
      <c r="AB36" s="38">
        <v>35</v>
      </c>
      <c r="AC36" s="38">
        <v>35</v>
      </c>
      <c r="AD36" s="33">
        <v>29</v>
      </c>
      <c r="AE36" s="33">
        <v>29</v>
      </c>
      <c r="AF36" s="33">
        <v>29</v>
      </c>
      <c r="AG36" s="33">
        <v>29</v>
      </c>
    </row>
    <row r="37" spans="1:33" ht="15.75" thickBot="1" x14ac:dyDescent="0.3">
      <c r="A37" s="8" t="s">
        <v>58</v>
      </c>
      <c r="B37" s="45">
        <v>63</v>
      </c>
      <c r="C37" s="45">
        <v>63</v>
      </c>
      <c r="D37" s="45">
        <v>63</v>
      </c>
      <c r="E37" s="45">
        <v>63</v>
      </c>
      <c r="F37" s="45">
        <v>71</v>
      </c>
      <c r="G37" s="45">
        <v>71</v>
      </c>
      <c r="H37" s="45">
        <v>71</v>
      </c>
      <c r="I37" s="45">
        <v>71</v>
      </c>
      <c r="J37" s="45">
        <v>66</v>
      </c>
      <c r="K37" s="45">
        <v>66</v>
      </c>
      <c r="L37" s="45">
        <v>66</v>
      </c>
      <c r="M37" s="45">
        <v>66</v>
      </c>
      <c r="N37" s="25">
        <v>50</v>
      </c>
      <c r="O37" s="25">
        <v>50</v>
      </c>
      <c r="P37" s="25">
        <v>50</v>
      </c>
      <c r="Q37" s="25">
        <v>50</v>
      </c>
      <c r="R37" s="33">
        <v>59</v>
      </c>
      <c r="S37" s="33">
        <v>59</v>
      </c>
      <c r="T37" s="33">
        <v>59</v>
      </c>
      <c r="U37" s="33">
        <v>59</v>
      </c>
      <c r="V37" s="46">
        <v>70</v>
      </c>
      <c r="W37" s="46">
        <v>70</v>
      </c>
      <c r="X37" s="46">
        <v>70</v>
      </c>
      <c r="Y37" s="46">
        <v>70</v>
      </c>
      <c r="Z37" s="38">
        <v>64</v>
      </c>
      <c r="AA37" s="38">
        <v>64</v>
      </c>
      <c r="AB37" s="38">
        <v>64</v>
      </c>
      <c r="AC37" s="38">
        <v>64</v>
      </c>
      <c r="AD37" s="33">
        <v>60</v>
      </c>
      <c r="AE37" s="33">
        <v>60</v>
      </c>
      <c r="AF37" s="33">
        <v>60</v>
      </c>
      <c r="AG37" s="33">
        <v>60</v>
      </c>
    </row>
    <row r="38" spans="1:33" ht="15.75" thickBot="1" x14ac:dyDescent="0.3">
      <c r="A38" s="11" t="s">
        <v>59</v>
      </c>
      <c r="B38" s="72">
        <v>73</v>
      </c>
      <c r="C38" s="72">
        <v>73</v>
      </c>
      <c r="D38" s="72">
        <v>73</v>
      </c>
      <c r="E38" s="72">
        <v>73</v>
      </c>
      <c r="F38" s="72">
        <v>53</v>
      </c>
      <c r="G38" s="72">
        <v>53</v>
      </c>
      <c r="H38" s="72">
        <v>53</v>
      </c>
      <c r="I38" s="72">
        <v>53</v>
      </c>
      <c r="J38" s="72">
        <v>22</v>
      </c>
      <c r="K38" s="72">
        <v>22</v>
      </c>
      <c r="L38" s="72">
        <v>22</v>
      </c>
      <c r="M38" s="72">
        <v>22</v>
      </c>
      <c r="N38" s="32">
        <v>16</v>
      </c>
      <c r="O38" s="32">
        <v>16</v>
      </c>
      <c r="P38" s="32">
        <v>16</v>
      </c>
      <c r="Q38" s="32">
        <v>16</v>
      </c>
      <c r="R38" s="34">
        <v>22</v>
      </c>
      <c r="S38" s="34">
        <v>22</v>
      </c>
      <c r="T38" s="34">
        <v>22</v>
      </c>
      <c r="U38" s="34">
        <v>22</v>
      </c>
      <c r="V38" s="46">
        <v>27</v>
      </c>
      <c r="W38" s="46">
        <v>27</v>
      </c>
      <c r="X38" s="46">
        <v>27</v>
      </c>
      <c r="Y38" s="46">
        <v>27</v>
      </c>
      <c r="Z38" s="38">
        <v>30</v>
      </c>
      <c r="AA38" s="38">
        <v>30</v>
      </c>
      <c r="AB38" s="38">
        <v>30</v>
      </c>
      <c r="AC38" s="38">
        <v>30</v>
      </c>
      <c r="AD38" s="33">
        <v>41</v>
      </c>
      <c r="AE38" s="33">
        <v>41</v>
      </c>
      <c r="AF38" s="33">
        <v>41</v>
      </c>
      <c r="AG38" s="33">
        <v>41</v>
      </c>
    </row>
    <row r="39" spans="1:33" ht="15.75" thickBot="1" x14ac:dyDescent="0.3">
      <c r="A39" s="11" t="s">
        <v>60</v>
      </c>
      <c r="B39" s="72">
        <v>51</v>
      </c>
      <c r="C39" s="72">
        <v>51</v>
      </c>
      <c r="D39" s="72">
        <v>51</v>
      </c>
      <c r="E39" s="72">
        <v>51</v>
      </c>
      <c r="F39" s="72">
        <v>44</v>
      </c>
      <c r="G39" s="72">
        <v>44</v>
      </c>
      <c r="H39" s="72">
        <v>44</v>
      </c>
      <c r="I39" s="72">
        <v>44</v>
      </c>
      <c r="J39" s="72">
        <v>42</v>
      </c>
      <c r="K39" s="72">
        <v>42</v>
      </c>
      <c r="L39" s="72">
        <v>42</v>
      </c>
      <c r="M39" s="72">
        <v>42</v>
      </c>
      <c r="N39" s="25">
        <v>43</v>
      </c>
      <c r="O39" s="25">
        <v>43</v>
      </c>
      <c r="P39" s="25">
        <v>43</v>
      </c>
      <c r="Q39" s="25">
        <v>43</v>
      </c>
      <c r="R39" s="33">
        <v>35</v>
      </c>
      <c r="S39" s="33">
        <v>35</v>
      </c>
      <c r="T39" s="33">
        <v>35</v>
      </c>
      <c r="U39" s="33">
        <v>35</v>
      </c>
      <c r="V39" s="46">
        <v>41</v>
      </c>
      <c r="W39" s="46">
        <v>41</v>
      </c>
      <c r="X39" s="46">
        <v>41</v>
      </c>
      <c r="Y39" s="46">
        <v>41</v>
      </c>
      <c r="Z39" s="38">
        <v>45</v>
      </c>
      <c r="AA39" s="38">
        <v>45</v>
      </c>
      <c r="AB39" s="38">
        <v>45</v>
      </c>
      <c r="AC39" s="38">
        <v>45</v>
      </c>
      <c r="AD39" s="33">
        <v>42</v>
      </c>
      <c r="AE39" s="33">
        <v>42</v>
      </c>
      <c r="AF39" s="33">
        <v>42</v>
      </c>
      <c r="AG39" s="33">
        <v>42</v>
      </c>
    </row>
    <row r="40" spans="1:33" ht="15.75" thickBot="1" x14ac:dyDescent="0.3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  <c r="O40" s="14"/>
      <c r="P40" s="14"/>
      <c r="Q40" s="14"/>
      <c r="R40" s="11"/>
    </row>
    <row r="41" spans="1:33" ht="15.75" thickBot="1" x14ac:dyDescent="0.3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1"/>
    </row>
    <row r="42" spans="1:33" ht="15.75" thickBot="1" x14ac:dyDescent="0.3">
      <c r="A42" s="13" t="s">
        <v>79</v>
      </c>
      <c r="B42" s="51">
        <f>B24+B27+B25-B26</f>
        <v>2698220</v>
      </c>
      <c r="C42" s="51">
        <f t="shared" ref="C42:AG42" si="0">C24+C27+C25-C26</f>
        <v>2825205</v>
      </c>
      <c r="D42" s="51">
        <f t="shared" si="0"/>
        <v>2784970</v>
      </c>
      <c r="E42" s="51">
        <f t="shared" si="0"/>
        <v>2738117</v>
      </c>
      <c r="F42" s="51">
        <f t="shared" si="0"/>
        <v>2882796</v>
      </c>
      <c r="G42" s="51">
        <f t="shared" si="0"/>
        <v>2878393</v>
      </c>
      <c r="H42" s="51">
        <f t="shared" si="0"/>
        <v>2719039</v>
      </c>
      <c r="I42" s="51">
        <f t="shared" si="0"/>
        <v>2836452</v>
      </c>
      <c r="J42" s="51">
        <f t="shared" si="0"/>
        <v>2874676</v>
      </c>
      <c r="K42" s="51">
        <f t="shared" si="0"/>
        <v>2781463</v>
      </c>
      <c r="L42" s="51">
        <f t="shared" si="0"/>
        <v>2924965</v>
      </c>
      <c r="M42" s="51">
        <f t="shared" si="0"/>
        <v>2879788</v>
      </c>
      <c r="N42" s="51">
        <f t="shared" si="0"/>
        <v>2970920</v>
      </c>
      <c r="O42" s="51">
        <f t="shared" si="0"/>
        <v>3239606</v>
      </c>
      <c r="P42" s="51">
        <f t="shared" si="0"/>
        <v>3165838</v>
      </c>
      <c r="Q42" s="51">
        <f t="shared" si="0"/>
        <v>2695594</v>
      </c>
      <c r="R42" s="51">
        <f t="shared" si="0"/>
        <v>3341839</v>
      </c>
      <c r="S42" s="51">
        <f t="shared" si="0"/>
        <v>2724821</v>
      </c>
      <c r="T42" s="51">
        <f t="shared" si="0"/>
        <v>3735033</v>
      </c>
      <c r="U42" s="51">
        <f t="shared" si="0"/>
        <v>3811032</v>
      </c>
      <c r="V42" s="51">
        <f t="shared" si="0"/>
        <v>3440747</v>
      </c>
      <c r="W42" s="51">
        <f t="shared" si="0"/>
        <v>4297399</v>
      </c>
      <c r="X42" s="51">
        <f t="shared" si="0"/>
        <v>4205276</v>
      </c>
      <c r="Y42" s="51">
        <f t="shared" si="0"/>
        <v>5071688</v>
      </c>
      <c r="Z42" s="51">
        <f t="shared" si="0"/>
        <v>3982130</v>
      </c>
      <c r="AA42" s="51">
        <f t="shared" si="0"/>
        <v>4148286</v>
      </c>
      <c r="AB42" s="51">
        <f t="shared" si="0"/>
        <v>4571065</v>
      </c>
      <c r="AC42" s="51">
        <f t="shared" si="0"/>
        <v>4807397</v>
      </c>
      <c r="AD42" s="51">
        <f t="shared" si="0"/>
        <v>3030550</v>
      </c>
      <c r="AE42" s="51">
        <f t="shared" si="0"/>
        <v>3930888</v>
      </c>
      <c r="AF42" s="51">
        <f t="shared" si="0"/>
        <v>3682692</v>
      </c>
      <c r="AG42" s="51">
        <f t="shared" si="0"/>
        <v>3558625</v>
      </c>
    </row>
    <row r="43" spans="1:33" ht="15.75" thickBot="1" x14ac:dyDescent="0.3">
      <c r="A43" s="13" t="s">
        <v>80</v>
      </c>
      <c r="B43" s="52">
        <f>B42/B25</f>
        <v>7.2361035499070754</v>
      </c>
      <c r="C43" s="52">
        <f t="shared" ref="C43:AG43" si="1">C42/C25</f>
        <v>7.4534227855047384</v>
      </c>
      <c r="D43" s="52">
        <f t="shared" si="1"/>
        <v>8.1675225305808823</v>
      </c>
      <c r="E43" s="52">
        <f t="shared" si="1"/>
        <v>7.6293832946493501</v>
      </c>
      <c r="F43" s="52">
        <f t="shared" si="1"/>
        <v>6.1880236204753718</v>
      </c>
      <c r="G43" s="52">
        <f t="shared" si="1"/>
        <v>6.043692153931433</v>
      </c>
      <c r="H43" s="52">
        <f t="shared" si="1"/>
        <v>8.6004440915891465</v>
      </c>
      <c r="I43" s="52">
        <f t="shared" si="1"/>
        <v>7.1497940602644698</v>
      </c>
      <c r="J43" s="52">
        <f t="shared" si="1"/>
        <v>7.6500741142876914</v>
      </c>
      <c r="K43" s="52">
        <f t="shared" si="1"/>
        <v>7.0464950725812585</v>
      </c>
      <c r="L43" s="52">
        <f t="shared" si="1"/>
        <v>7.4580115300963055</v>
      </c>
      <c r="M43" s="52">
        <f t="shared" si="1"/>
        <v>6.6975707889993608</v>
      </c>
      <c r="N43" s="52">
        <f t="shared" si="1"/>
        <v>6.8824667276707636</v>
      </c>
      <c r="O43" s="52">
        <f t="shared" si="1"/>
        <v>7.0156724062135236</v>
      </c>
      <c r="P43" s="52">
        <f t="shared" si="1"/>
        <v>7.7778793261446912</v>
      </c>
      <c r="Q43" s="52">
        <f t="shared" si="1"/>
        <v>5.6893797726438073</v>
      </c>
      <c r="R43" s="52">
        <f t="shared" si="1"/>
        <v>6.9081086332779336</v>
      </c>
      <c r="S43" s="52">
        <f t="shared" si="1"/>
        <v>5.0092857116594418</v>
      </c>
      <c r="T43" s="52">
        <f t="shared" si="1"/>
        <v>8.2243906628117696</v>
      </c>
      <c r="U43" s="52">
        <f t="shared" si="1"/>
        <v>9.4024800035527303</v>
      </c>
      <c r="V43" s="52">
        <f t="shared" si="1"/>
        <v>8.6167097826005286</v>
      </c>
      <c r="W43" s="52">
        <f t="shared" si="1"/>
        <v>13.071657789796111</v>
      </c>
      <c r="X43" s="52">
        <f t="shared" si="1"/>
        <v>7.9251224025961786</v>
      </c>
      <c r="Y43" s="52">
        <f t="shared" si="1"/>
        <v>5.3020903355304769</v>
      </c>
      <c r="Z43" s="52">
        <f t="shared" si="1"/>
        <v>8.5431800531195972</v>
      </c>
      <c r="AA43" s="52">
        <f t="shared" si="1"/>
        <v>7.1622196515823822</v>
      </c>
      <c r="AB43" s="52">
        <f t="shared" si="1"/>
        <v>6.098575107067095</v>
      </c>
      <c r="AC43" s="52">
        <f t="shared" si="1"/>
        <v>5.3712792689317208</v>
      </c>
      <c r="AD43" s="52">
        <f t="shared" si="1"/>
        <v>5.0395943779641739</v>
      </c>
      <c r="AE43" s="52">
        <f t="shared" si="1"/>
        <v>2.7196827338467968</v>
      </c>
      <c r="AF43" s="52">
        <f t="shared" si="1"/>
        <v>3.7411930354960519</v>
      </c>
      <c r="AG43" s="52">
        <f t="shared" si="1"/>
        <v>4.8994468094480208</v>
      </c>
    </row>
    <row r="44" spans="1:33" ht="15.75" thickBot="1" x14ac:dyDescent="0.3">
      <c r="A44" s="13" t="s">
        <v>81</v>
      </c>
      <c r="B44" s="52">
        <f>B42/B10</f>
        <v>6.8708014467434464E-2</v>
      </c>
      <c r="C44" s="52">
        <f t="shared" ref="C44:AG44" si="2">C42/C10</f>
        <v>6.853328406733987E-2</v>
      </c>
      <c r="D44" s="52">
        <f t="shared" si="2"/>
        <v>6.3954208936127382E-2</v>
      </c>
      <c r="E44" s="52">
        <f t="shared" si="2"/>
        <v>5.8956920933469957E-2</v>
      </c>
      <c r="F44" s="52">
        <f t="shared" si="2"/>
        <v>5.9211570188555676E-2</v>
      </c>
      <c r="G44" s="52">
        <f t="shared" si="2"/>
        <v>6.1948123872702925E-2</v>
      </c>
      <c r="H44" s="52">
        <f t="shared" si="2"/>
        <v>5.5463719098874972E-2</v>
      </c>
      <c r="I44" s="52">
        <f t="shared" si="2"/>
        <v>6.0810615687191844E-2</v>
      </c>
      <c r="J44" s="52">
        <f t="shared" si="2"/>
        <v>6.0856739726907257E-2</v>
      </c>
      <c r="K44" s="52">
        <f t="shared" si="2"/>
        <v>6.3393364902121982E-2</v>
      </c>
      <c r="L44" s="52">
        <f t="shared" si="2"/>
        <v>6.7804386108432771E-2</v>
      </c>
      <c r="M44" s="52">
        <f t="shared" si="2"/>
        <v>6.7957393712888378E-2</v>
      </c>
      <c r="N44" s="52">
        <f t="shared" si="2"/>
        <v>9.5480261776582961E-2</v>
      </c>
      <c r="O44" s="52">
        <f t="shared" si="2"/>
        <v>0.10084705014830989</v>
      </c>
      <c r="P44" s="52">
        <f t="shared" si="2"/>
        <v>8.1536181110860348E-2</v>
      </c>
      <c r="Q44" s="52">
        <f t="shared" si="2"/>
        <v>7.1881210888038394E-2</v>
      </c>
      <c r="R44" s="52">
        <f t="shared" si="2"/>
        <v>8.7343673559168986E-2</v>
      </c>
      <c r="S44" s="52">
        <f t="shared" si="2"/>
        <v>6.8774510416362997E-2</v>
      </c>
      <c r="T44" s="52">
        <f t="shared" si="2"/>
        <v>8.4981464307110607E-2</v>
      </c>
      <c r="U44" s="52">
        <f t="shared" si="2"/>
        <v>9.8672354040579557E-2</v>
      </c>
      <c r="V44" s="52">
        <f t="shared" si="2"/>
        <v>8.7008923559025272E-2</v>
      </c>
      <c r="W44" s="52">
        <f t="shared" si="2"/>
        <v>0.14433162224831467</v>
      </c>
      <c r="X44" s="52">
        <f t="shared" si="2"/>
        <v>9.5680684024893187E-2</v>
      </c>
      <c r="Y44" s="52">
        <f t="shared" si="2"/>
        <v>0.10903282685487223</v>
      </c>
      <c r="Z44" s="52">
        <f t="shared" si="2"/>
        <v>8.2524076680642669E-2</v>
      </c>
      <c r="AA44" s="52">
        <f t="shared" si="2"/>
        <v>8.3999842055545823E-2</v>
      </c>
      <c r="AB44" s="52">
        <f t="shared" si="2"/>
        <v>9.3241864181682912E-2</v>
      </c>
      <c r="AC44" s="52">
        <f t="shared" si="2"/>
        <v>0.10306565082813283</v>
      </c>
      <c r="AD44" s="52">
        <f t="shared" si="2"/>
        <v>6.7143142852971308E-2</v>
      </c>
      <c r="AE44" s="52">
        <f t="shared" si="2"/>
        <v>8.9590340541424604E-2</v>
      </c>
      <c r="AF44" s="52">
        <f t="shared" si="2"/>
        <v>8.5369455800816937E-2</v>
      </c>
      <c r="AG44" s="52">
        <f t="shared" si="2"/>
        <v>8.397662612717581E-2</v>
      </c>
    </row>
    <row r="45" spans="1:33" ht="15.75" thickBot="1" x14ac:dyDescent="0.3">
      <c r="A45" s="13" t="s">
        <v>82</v>
      </c>
      <c r="B45" s="52">
        <f>(B42-B25)/B42</f>
        <v>0.86180407824417582</v>
      </c>
      <c r="C45" s="52">
        <f t="shared" ref="C45:AG45" si="3">(C42-C25)/C42</f>
        <v>0.86583345279369106</v>
      </c>
      <c r="D45" s="52">
        <f t="shared" si="3"/>
        <v>0.87756385167524242</v>
      </c>
      <c r="E45" s="52">
        <f t="shared" si="3"/>
        <v>0.86892780695638649</v>
      </c>
      <c r="F45" s="52">
        <f t="shared" si="3"/>
        <v>0.83839751408008056</v>
      </c>
      <c r="G45" s="52">
        <f t="shared" si="3"/>
        <v>0.83453823018607953</v>
      </c>
      <c r="H45" s="52">
        <f t="shared" si="3"/>
        <v>0.88372693440586914</v>
      </c>
      <c r="I45" s="52">
        <f t="shared" si="3"/>
        <v>0.86013583166575713</v>
      </c>
      <c r="J45" s="52">
        <f t="shared" si="3"/>
        <v>0.86928231216317942</v>
      </c>
      <c r="K45" s="52">
        <f t="shared" si="3"/>
        <v>0.85808547516181233</v>
      </c>
      <c r="L45" s="52">
        <f t="shared" si="3"/>
        <v>0.86591600241370414</v>
      </c>
      <c r="M45" s="52">
        <f t="shared" si="3"/>
        <v>0.85069213428210688</v>
      </c>
      <c r="N45" s="52">
        <f t="shared" si="3"/>
        <v>0.8547032569035854</v>
      </c>
      <c r="O45" s="52">
        <f t="shared" si="3"/>
        <v>0.85746198766146253</v>
      </c>
      <c r="P45" s="52">
        <f t="shared" si="3"/>
        <v>0.87143025006333241</v>
      </c>
      <c r="Q45" s="52">
        <f t="shared" si="3"/>
        <v>0.82423391653194067</v>
      </c>
      <c r="R45" s="52">
        <f t="shared" si="3"/>
        <v>0.85524257751495514</v>
      </c>
      <c r="S45" s="52">
        <f t="shared" si="3"/>
        <v>0.80037073994952324</v>
      </c>
      <c r="T45" s="52">
        <f t="shared" si="3"/>
        <v>0.87841044510182376</v>
      </c>
      <c r="U45" s="52">
        <f t="shared" si="3"/>
        <v>0.89364508091246675</v>
      </c>
      <c r="V45" s="52">
        <f t="shared" si="3"/>
        <v>0.8839464220996196</v>
      </c>
      <c r="W45" s="52">
        <f t="shared" si="3"/>
        <v>0.92349860927505223</v>
      </c>
      <c r="X45" s="52">
        <f t="shared" si="3"/>
        <v>0.87381898358157706</v>
      </c>
      <c r="Y45" s="52">
        <f t="shared" si="3"/>
        <v>0.81139514102602528</v>
      </c>
      <c r="Z45" s="52">
        <f t="shared" si="3"/>
        <v>0.88294756826120691</v>
      </c>
      <c r="AA45" s="52">
        <f t="shared" si="3"/>
        <v>0.86037847920803923</v>
      </c>
      <c r="AB45" s="52">
        <f t="shared" si="3"/>
        <v>0.83602727154393996</v>
      </c>
      <c r="AC45" s="52">
        <f t="shared" si="3"/>
        <v>0.81382461236298975</v>
      </c>
      <c r="AD45" s="52">
        <f t="shared" si="3"/>
        <v>0.80157133193644714</v>
      </c>
      <c r="AE45" s="52">
        <f t="shared" si="3"/>
        <v>0.63231005309741717</v>
      </c>
      <c r="AF45" s="52">
        <f t="shared" si="3"/>
        <v>0.73270558602239888</v>
      </c>
      <c r="AG45" s="52">
        <f t="shared" si="3"/>
        <v>0.79589532473919</v>
      </c>
    </row>
    <row r="46" spans="1:33" ht="15.75" thickBot="1" x14ac:dyDescent="0.3">
      <c r="A46" s="13" t="s">
        <v>83</v>
      </c>
      <c r="B46" s="52">
        <f>SUM(B43:B45)</f>
        <v>8.1666156426186856</v>
      </c>
      <c r="C46" s="52">
        <f t="shared" ref="C46:AG46" si="4">SUM(C43:C45)</f>
        <v>8.3877895223657699</v>
      </c>
      <c r="D46" s="52">
        <f t="shared" si="4"/>
        <v>9.1090405911922527</v>
      </c>
      <c r="E46" s="52">
        <f t="shared" si="4"/>
        <v>8.5572680225392066</v>
      </c>
      <c r="F46" s="52">
        <f t="shared" si="4"/>
        <v>7.0856327047440075</v>
      </c>
      <c r="G46" s="52">
        <f t="shared" si="4"/>
        <v>6.9401785079902156</v>
      </c>
      <c r="H46" s="52">
        <f t="shared" si="4"/>
        <v>9.5396347450938901</v>
      </c>
      <c r="I46" s="52">
        <f t="shared" si="4"/>
        <v>8.070740507617419</v>
      </c>
      <c r="J46" s="52">
        <f t="shared" si="4"/>
        <v>8.5802131661777779</v>
      </c>
      <c r="K46" s="52">
        <f t="shared" si="4"/>
        <v>7.9679739126451929</v>
      </c>
      <c r="L46" s="52">
        <f t="shared" si="4"/>
        <v>8.3917319186184418</v>
      </c>
      <c r="M46" s="52">
        <f t="shared" si="4"/>
        <v>7.6162203169943563</v>
      </c>
      <c r="N46" s="52">
        <f t="shared" si="4"/>
        <v>7.8326502463509318</v>
      </c>
      <c r="O46" s="52">
        <f t="shared" si="4"/>
        <v>7.9739814440232966</v>
      </c>
      <c r="P46" s="52">
        <f t="shared" si="4"/>
        <v>8.7308457573188836</v>
      </c>
      <c r="Q46" s="52">
        <f t="shared" si="4"/>
        <v>6.5854949000637859</v>
      </c>
      <c r="R46" s="52">
        <f t="shared" si="4"/>
        <v>7.8506948843520581</v>
      </c>
      <c r="S46" s="52">
        <f t="shared" si="4"/>
        <v>5.8784309620253277</v>
      </c>
      <c r="T46" s="52">
        <f t="shared" si="4"/>
        <v>9.1877825722207049</v>
      </c>
      <c r="U46" s="52">
        <f t="shared" si="4"/>
        <v>10.394797438505776</v>
      </c>
      <c r="V46" s="52">
        <f t="shared" si="4"/>
        <v>9.5876651282591734</v>
      </c>
      <c r="W46" s="52">
        <f t="shared" si="4"/>
        <v>14.139488021319478</v>
      </c>
      <c r="X46" s="52">
        <f t="shared" si="4"/>
        <v>8.8946220702026491</v>
      </c>
      <c r="Y46" s="52">
        <f t="shared" si="4"/>
        <v>6.2225183034113751</v>
      </c>
      <c r="Z46" s="52">
        <f t="shared" si="4"/>
        <v>9.5086516980614473</v>
      </c>
      <c r="AA46" s="52">
        <f t="shared" si="4"/>
        <v>8.1065979728459663</v>
      </c>
      <c r="AB46" s="52">
        <f t="shared" si="4"/>
        <v>7.0278442427927175</v>
      </c>
      <c r="AC46" s="52">
        <f t="shared" si="4"/>
        <v>6.2881695321228435</v>
      </c>
      <c r="AD46" s="52">
        <f t="shared" si="4"/>
        <v>5.9083088527535921</v>
      </c>
      <c r="AE46" s="52">
        <f t="shared" si="4"/>
        <v>3.4415831274856385</v>
      </c>
      <c r="AF46" s="52">
        <f t="shared" si="4"/>
        <v>4.5592680773192678</v>
      </c>
      <c r="AG46" s="52">
        <f t="shared" si="4"/>
        <v>5.7793187603143865</v>
      </c>
    </row>
    <row r="47" spans="1:33" ht="15.75" thickBot="1" x14ac:dyDescent="0.3">
      <c r="A47" s="13" t="s">
        <v>85</v>
      </c>
      <c r="B47" s="52">
        <f>B32/B14</f>
        <v>2.0992921600714309E-2</v>
      </c>
      <c r="C47" s="52">
        <f t="shared" ref="C47:AG47" si="5">C32/C14</f>
        <v>2.4424671150099865E-2</v>
      </c>
      <c r="D47" s="52">
        <f t="shared" si="5"/>
        <v>3.4643907875132801E-2</v>
      </c>
      <c r="E47" s="52">
        <f t="shared" si="5"/>
        <v>2.0676006484908378E-2</v>
      </c>
      <c r="F47" s="52">
        <f t="shared" si="5"/>
        <v>2.8271709876056064E-2</v>
      </c>
      <c r="G47" s="52">
        <f t="shared" si="5"/>
        <v>4.1178720990562259E-2</v>
      </c>
      <c r="H47" s="52">
        <f t="shared" si="5"/>
        <v>5.6070354202138378E-2</v>
      </c>
      <c r="I47" s="52">
        <f t="shared" si="5"/>
        <v>4.2880568922504879E-2</v>
      </c>
      <c r="J47" s="52">
        <f t="shared" si="5"/>
        <v>4.6870619001331798E-2</v>
      </c>
      <c r="K47" s="52">
        <f t="shared" si="5"/>
        <v>7.2420806465208681E-2</v>
      </c>
      <c r="L47" s="52">
        <f t="shared" si="5"/>
        <v>9.3824258734312813E-2</v>
      </c>
      <c r="M47" s="52">
        <f t="shared" si="5"/>
        <v>6.3938427429674385E-2</v>
      </c>
      <c r="N47" s="52">
        <f t="shared" si="5"/>
        <v>6.5768922679543637E-2</v>
      </c>
      <c r="O47" s="52">
        <f t="shared" si="5"/>
        <v>7.1231878023006651E-2</v>
      </c>
      <c r="P47" s="52">
        <f t="shared" si="5"/>
        <v>6.2031287335442727E-2</v>
      </c>
      <c r="Q47" s="52">
        <f t="shared" si="5"/>
        <v>6.9688135107645294E-2</v>
      </c>
      <c r="R47" s="52">
        <f t="shared" si="5"/>
        <v>6.6359496695129999E-2</v>
      </c>
      <c r="S47" s="52">
        <f t="shared" si="5"/>
        <v>7.5131932781549546E-2</v>
      </c>
      <c r="T47" s="52">
        <f t="shared" si="5"/>
        <v>6.6150386509839343E-2</v>
      </c>
      <c r="U47" s="52">
        <f t="shared" si="5"/>
        <v>4.8678078249762169E-2</v>
      </c>
      <c r="V47" s="52">
        <f t="shared" si="5"/>
        <v>6.2717387345286132E-2</v>
      </c>
      <c r="W47" s="52">
        <f t="shared" si="5"/>
        <v>7.2945833674432622E-2</v>
      </c>
      <c r="X47" s="52">
        <f t="shared" si="5"/>
        <v>7.3818258530483558E-2</v>
      </c>
      <c r="Y47" s="52">
        <f t="shared" si="5"/>
        <v>8.5099570264214955E-2</v>
      </c>
      <c r="Z47" s="52">
        <f t="shared" si="5"/>
        <v>5.7357125689314649E-2</v>
      </c>
      <c r="AA47" s="52">
        <f t="shared" si="5"/>
        <v>5.3002967514903229E-2</v>
      </c>
      <c r="AB47" s="52">
        <f t="shared" si="5"/>
        <v>6.9004902285563852E-3</v>
      </c>
      <c r="AC47" s="52">
        <f t="shared" si="5"/>
        <v>-9.4620830651527627E-2</v>
      </c>
      <c r="AD47" s="52">
        <f t="shared" si="5"/>
        <v>-2.6805353051040049E-3</v>
      </c>
      <c r="AE47" s="52">
        <f t="shared" si="5"/>
        <v>-5.7357042392151662E-2</v>
      </c>
      <c r="AF47" s="52">
        <f t="shared" si="5"/>
        <v>-1.0180159391063264E-2</v>
      </c>
      <c r="AG47" s="52">
        <f t="shared" si="5"/>
        <v>6.8055775660401299E-4</v>
      </c>
    </row>
    <row r="48" spans="1:33" ht="15.75" thickBot="1" x14ac:dyDescent="0.3">
      <c r="A48" s="13" t="s">
        <v>86</v>
      </c>
      <c r="B48" s="52">
        <f>B32/B10</f>
        <v>1.1418325652948567E-2</v>
      </c>
      <c r="C48" s="52">
        <f t="shared" ref="C48:AG48" si="6">C32/C10</f>
        <v>1.3085390059993929E-2</v>
      </c>
      <c r="D48" s="52">
        <f t="shared" si="6"/>
        <v>1.7864474542310851E-2</v>
      </c>
      <c r="E48" s="52">
        <f t="shared" si="6"/>
        <v>1.0338810602051265E-2</v>
      </c>
      <c r="F48" s="52">
        <f t="shared" si="6"/>
        <v>1.3862855190066262E-2</v>
      </c>
      <c r="G48" s="52">
        <f t="shared" si="6"/>
        <v>1.7364864941936082E-2</v>
      </c>
      <c r="H48" s="52">
        <f t="shared" si="6"/>
        <v>2.1457501580713721E-2</v>
      </c>
      <c r="I48" s="52">
        <f t="shared" si="6"/>
        <v>1.5308798273356629E-2</v>
      </c>
      <c r="J48" s="52">
        <f t="shared" si="6"/>
        <v>1.9074630690796766E-2</v>
      </c>
      <c r="K48" s="52">
        <f t="shared" si="6"/>
        <v>2.5925439203461517E-2</v>
      </c>
      <c r="L48" s="52">
        <f t="shared" si="6"/>
        <v>3.3817824843573992E-2</v>
      </c>
      <c r="M48" s="52">
        <f t="shared" si="6"/>
        <v>2.3476170389751364E-2</v>
      </c>
      <c r="N48" s="52">
        <f t="shared" si="6"/>
        <v>3.2081524791743136E-2</v>
      </c>
      <c r="O48" s="52">
        <f t="shared" si="6"/>
        <v>3.6236790776129242E-2</v>
      </c>
      <c r="P48" s="52">
        <f t="shared" si="6"/>
        <v>3.1518153893432113E-2</v>
      </c>
      <c r="Q48" s="52">
        <f t="shared" si="6"/>
        <v>3.4170957344875595E-2</v>
      </c>
      <c r="R48" s="52">
        <f t="shared" si="6"/>
        <v>3.155838186559707E-2</v>
      </c>
      <c r="S48" s="52">
        <f t="shared" si="6"/>
        <v>3.5872566721021029E-2</v>
      </c>
      <c r="T48" s="52">
        <f t="shared" si="6"/>
        <v>3.4388361496533341E-2</v>
      </c>
      <c r="U48" s="52">
        <f t="shared" si="6"/>
        <v>2.6348300698198782E-2</v>
      </c>
      <c r="V48" s="52">
        <f t="shared" si="6"/>
        <v>3.3876498428616078E-2</v>
      </c>
      <c r="W48" s="52">
        <f t="shared" si="6"/>
        <v>5.4108148992022702E-2</v>
      </c>
      <c r="X48" s="52">
        <f t="shared" si="6"/>
        <v>3.8374514395516715E-2</v>
      </c>
      <c r="Y48" s="52">
        <f t="shared" si="6"/>
        <v>4.3840879759856767E-2</v>
      </c>
      <c r="Z48" s="52">
        <f t="shared" si="6"/>
        <v>2.9005291978971347E-2</v>
      </c>
      <c r="AA48" s="52">
        <f t="shared" si="6"/>
        <v>2.656494098850954E-2</v>
      </c>
      <c r="AB48" s="52">
        <f t="shared" si="6"/>
        <v>2.6407409422304186E-3</v>
      </c>
      <c r="AC48" s="52">
        <f t="shared" si="6"/>
        <v>-3.3783639650152845E-2</v>
      </c>
      <c r="AD48" s="52">
        <f t="shared" si="6"/>
        <v>-9.8640412007720986E-4</v>
      </c>
      <c r="AE48" s="52">
        <f t="shared" si="6"/>
        <v>-2.0532863247559364E-2</v>
      </c>
      <c r="AF48" s="52">
        <f t="shared" si="6"/>
        <v>-3.6693159297056912E-3</v>
      </c>
      <c r="AG48" s="52">
        <f t="shared" si="6"/>
        <v>2.499033954650439E-4</v>
      </c>
    </row>
    <row r="49" spans="1:33" ht="15.75" thickBot="1" x14ac:dyDescent="0.3">
      <c r="A49" s="123"/>
      <c r="B49" s="124" t="str">
        <f>B19</f>
        <v>31/03/2008</v>
      </c>
      <c r="C49" s="124" t="str">
        <f t="shared" ref="C49:AG49" si="7">C19</f>
        <v>30/06/2008</v>
      </c>
      <c r="D49" s="124" t="str">
        <f t="shared" si="7"/>
        <v>30/09/2008</v>
      </c>
      <c r="E49" s="124" t="str">
        <f t="shared" si="7"/>
        <v>31/12/2008</v>
      </c>
      <c r="F49" s="124" t="str">
        <f t="shared" si="7"/>
        <v>31/03/2009</v>
      </c>
      <c r="G49" s="124" t="str">
        <f t="shared" si="7"/>
        <v>30/06/2009</v>
      </c>
      <c r="H49" s="124" t="str">
        <f t="shared" si="7"/>
        <v>30/09/2009</v>
      </c>
      <c r="I49" s="124" t="str">
        <f t="shared" si="7"/>
        <v>31/12/2009</v>
      </c>
      <c r="J49" s="124" t="str">
        <f t="shared" si="7"/>
        <v>31/03/2010</v>
      </c>
      <c r="K49" s="124" t="str">
        <f t="shared" si="7"/>
        <v>30/06/2010</v>
      </c>
      <c r="L49" s="124" t="str">
        <f t="shared" si="7"/>
        <v>30/09/2010</v>
      </c>
      <c r="M49" s="124" t="str">
        <f t="shared" si="7"/>
        <v>31/12/2010</v>
      </c>
      <c r="N49" s="124" t="str">
        <f t="shared" si="7"/>
        <v>31/03/2011</v>
      </c>
      <c r="O49" s="124" t="str">
        <f t="shared" si="7"/>
        <v>30/06/2011</v>
      </c>
      <c r="P49" s="124" t="str">
        <f t="shared" si="7"/>
        <v>30/09/2011</v>
      </c>
      <c r="Q49" s="124" t="str">
        <f t="shared" si="7"/>
        <v>31/12/2011</v>
      </c>
      <c r="R49" s="124" t="str">
        <f t="shared" si="7"/>
        <v>31/03/2012</v>
      </c>
      <c r="S49" s="124" t="str">
        <f t="shared" si="7"/>
        <v>30/06/2012</v>
      </c>
      <c r="T49" s="124" t="str">
        <f t="shared" si="7"/>
        <v>30/09/2012</v>
      </c>
      <c r="U49" s="124" t="str">
        <f t="shared" si="7"/>
        <v>31/12/2012</v>
      </c>
      <c r="V49" s="124" t="str">
        <f t="shared" si="7"/>
        <v>31/03/2013</v>
      </c>
      <c r="W49" s="124" t="str">
        <f t="shared" si="7"/>
        <v>30/06/2013</v>
      </c>
      <c r="X49" s="124" t="str">
        <f t="shared" si="7"/>
        <v>30/09/2013</v>
      </c>
      <c r="Y49" s="124" t="str">
        <f t="shared" si="7"/>
        <v>31/12/2013</v>
      </c>
      <c r="Z49" s="124" t="str">
        <f t="shared" si="7"/>
        <v>31/03/2014</v>
      </c>
      <c r="AA49" s="124" t="str">
        <f t="shared" si="7"/>
        <v>30/06/2014</v>
      </c>
      <c r="AB49" s="124" t="str">
        <f t="shared" si="7"/>
        <v>30/09/2014</v>
      </c>
      <c r="AC49" s="124" t="str">
        <f t="shared" si="7"/>
        <v>31/12/2014</v>
      </c>
      <c r="AD49" s="124" t="str">
        <f t="shared" si="7"/>
        <v>31/03/2015</v>
      </c>
      <c r="AE49" s="124" t="str">
        <f t="shared" si="7"/>
        <v>30/06/2015</v>
      </c>
      <c r="AF49" s="124" t="str">
        <f t="shared" si="7"/>
        <v>30/09/2015</v>
      </c>
      <c r="AG49" s="124" t="str">
        <f t="shared" si="7"/>
        <v>31/12/2015</v>
      </c>
    </row>
    <row r="50" spans="1:33" ht="15.75" thickBot="1" x14ac:dyDescent="0.3">
      <c r="A50" s="13" t="s">
        <v>131</v>
      </c>
      <c r="B50" s="111">
        <f t="shared" ref="B50:C50" si="8">B42+B9</f>
        <v>3014980</v>
      </c>
      <c r="C50" s="111">
        <f t="shared" si="8"/>
        <v>3034692</v>
      </c>
      <c r="D50" s="111">
        <f t="shared" ref="D50:E50" si="9">D42+D9</f>
        <v>3107815</v>
      </c>
      <c r="E50" s="111">
        <f t="shared" si="9"/>
        <v>4037489</v>
      </c>
      <c r="F50" s="111">
        <f t="shared" ref="F50:G50" si="10">F42+F9</f>
        <v>4341390</v>
      </c>
      <c r="G50" s="111">
        <f t="shared" si="10"/>
        <v>4517485</v>
      </c>
      <c r="H50" s="111">
        <f t="shared" ref="H50:AG50" si="11">H42+H9</f>
        <v>4596003</v>
      </c>
      <c r="I50" s="111">
        <f t="shared" si="11"/>
        <v>4140485</v>
      </c>
      <c r="J50" s="111">
        <f t="shared" si="11"/>
        <v>4409626</v>
      </c>
      <c r="K50" s="111">
        <f t="shared" si="11"/>
        <v>4464916</v>
      </c>
      <c r="L50" s="111">
        <f t="shared" si="11"/>
        <v>4613913</v>
      </c>
      <c r="M50" s="111">
        <f t="shared" si="11"/>
        <v>4743715</v>
      </c>
      <c r="N50" s="111">
        <f t="shared" si="11"/>
        <v>4850598</v>
      </c>
      <c r="O50" s="111">
        <f t="shared" si="11"/>
        <v>5127790</v>
      </c>
      <c r="P50" s="111">
        <f t="shared" si="11"/>
        <v>4991004</v>
      </c>
      <c r="Q50" s="111">
        <f t="shared" si="11"/>
        <v>4968201</v>
      </c>
      <c r="R50" s="111">
        <f t="shared" si="11"/>
        <v>5644729</v>
      </c>
      <c r="S50" s="111">
        <f t="shared" si="11"/>
        <v>4380817</v>
      </c>
      <c r="T50" s="111">
        <f t="shared" si="11"/>
        <v>4996138</v>
      </c>
      <c r="U50" s="111">
        <f t="shared" si="11"/>
        <v>4968892</v>
      </c>
      <c r="V50" s="111">
        <f t="shared" si="11"/>
        <v>4628410</v>
      </c>
      <c r="W50" s="111">
        <f t="shared" si="11"/>
        <v>5577434</v>
      </c>
      <c r="X50" s="111">
        <f t="shared" si="11"/>
        <v>5616920</v>
      </c>
      <c r="Y50" s="111">
        <f t="shared" si="11"/>
        <v>6179496</v>
      </c>
      <c r="Z50" s="111">
        <f t="shared" si="11"/>
        <v>5289618</v>
      </c>
      <c r="AA50" s="111">
        <f t="shared" si="11"/>
        <v>5697868</v>
      </c>
      <c r="AB50" s="111">
        <f t="shared" si="11"/>
        <v>6284411</v>
      </c>
      <c r="AC50" s="111">
        <f t="shared" si="11"/>
        <v>6819943</v>
      </c>
      <c r="AD50" s="111">
        <f t="shared" si="11"/>
        <v>3579910</v>
      </c>
      <c r="AE50" s="111">
        <f t="shared" si="11"/>
        <v>4661768</v>
      </c>
      <c r="AF50" s="111">
        <f t="shared" si="11"/>
        <v>4735585</v>
      </c>
      <c r="AG50" s="111">
        <f t="shared" si="11"/>
        <v>4370435</v>
      </c>
    </row>
    <row r="51" spans="1:33" ht="15.75" thickBot="1" x14ac:dyDescent="0.3">
      <c r="A51" s="13" t="s">
        <v>132</v>
      </c>
      <c r="B51" s="81">
        <f t="shared" ref="B51:C51" si="12">SUM(B11:B13)/B10</f>
        <v>0.37289937854364585</v>
      </c>
      <c r="C51" s="81">
        <f t="shared" si="12"/>
        <v>0.37184744904149875</v>
      </c>
      <c r="D51" s="81">
        <f t="shared" ref="D51:E51" si="13">SUM(D11:D13)/D10</f>
        <v>0.38606852892459576</v>
      </c>
      <c r="E51" s="81">
        <f t="shared" si="13"/>
        <v>0.37617059638234002</v>
      </c>
      <c r="F51" s="81">
        <f t="shared" ref="F51:G51" si="14">SUM(F11:F13)/F10</f>
        <v>0.3738619169396572</v>
      </c>
      <c r="G51" s="81">
        <f t="shared" si="14"/>
        <v>0.39505876423565817</v>
      </c>
      <c r="H51" s="81">
        <f t="shared" ref="H51:AG51" si="15">SUM(H11:H13)/H10</f>
        <v>0.43107770987938271</v>
      </c>
      <c r="I51" s="81">
        <f t="shared" si="15"/>
        <v>0.76717760668477442</v>
      </c>
      <c r="J51" s="81">
        <f t="shared" si="15"/>
        <v>0.71594325463341879</v>
      </c>
      <c r="K51" s="81">
        <f t="shared" si="15"/>
        <v>0.7488233952912291</v>
      </c>
      <c r="L51" s="81">
        <f t="shared" si="15"/>
        <v>0.7476239552030417</v>
      </c>
      <c r="M51" s="81">
        <f t="shared" si="15"/>
        <v>0.5635143874387557</v>
      </c>
      <c r="N51" s="81">
        <f t="shared" si="15"/>
        <v>0.54196464075620598</v>
      </c>
      <c r="O51" s="81">
        <f t="shared" si="15"/>
        <v>0.49128407418339598</v>
      </c>
      <c r="P51" s="81">
        <f t="shared" si="15"/>
        <v>0.43706873401080848</v>
      </c>
      <c r="Q51" s="81">
        <f t="shared" si="15"/>
        <v>0.5096588925490303</v>
      </c>
      <c r="R51" s="81">
        <f t="shared" si="15"/>
        <v>0.521874763628844</v>
      </c>
      <c r="S51" s="81">
        <f t="shared" si="15"/>
        <v>0.52253901379959711</v>
      </c>
      <c r="T51" s="81">
        <f t="shared" si="15"/>
        <v>0.47674321324341257</v>
      </c>
      <c r="U51" s="81">
        <f t="shared" si="15"/>
        <v>0.45872348199515223</v>
      </c>
      <c r="V51" s="81">
        <f t="shared" si="15"/>
        <v>0.45985475698929518</v>
      </c>
      <c r="W51" s="81">
        <f t="shared" si="15"/>
        <v>0.64486422600831317</v>
      </c>
      <c r="X51" s="81">
        <f t="shared" si="15"/>
        <v>0.48014874423419512</v>
      </c>
      <c r="Y51" s="81">
        <f t="shared" si="15"/>
        <v>0.4848284236484306</v>
      </c>
      <c r="Z51" s="81">
        <f t="shared" si="15"/>
        <v>0.49430359993832657</v>
      </c>
      <c r="AA51" s="81">
        <f t="shared" si="15"/>
        <v>0.49880276078806185</v>
      </c>
      <c r="AB51" s="81">
        <f t="shared" si="15"/>
        <v>0.61728051312934273</v>
      </c>
      <c r="AC51" s="81">
        <f t="shared" si="15"/>
        <v>0.64295769316830209</v>
      </c>
      <c r="AD51" s="81">
        <f t="shared" si="15"/>
        <v>0.63201226329718596</v>
      </c>
      <c r="AE51" s="81">
        <f t="shared" si="15"/>
        <v>0.64198251409281848</v>
      </c>
      <c r="AF51" s="81">
        <f t="shared" si="15"/>
        <v>0.63952726355423584</v>
      </c>
      <c r="AG51" s="81">
        <f t="shared" si="15"/>
        <v>0.6327961983534458</v>
      </c>
    </row>
    <row r="52" spans="1:33" ht="15.75" thickBot="1" x14ac:dyDescent="0.3">
      <c r="A52" s="13" t="s">
        <v>133</v>
      </c>
      <c r="B52" s="83">
        <f t="shared" ref="B52:G52" si="16">B58*B17</f>
        <v>12183218.189999999</v>
      </c>
      <c r="C52" s="83">
        <f t="shared" si="16"/>
        <v>18642700.800000001</v>
      </c>
      <c r="D52" s="83">
        <f t="shared" si="16"/>
        <v>27305413.200000003</v>
      </c>
      <c r="E52" s="83">
        <f t="shared" si="16"/>
        <v>18550578.708000001</v>
      </c>
      <c r="F52" s="83">
        <f t="shared" si="16"/>
        <v>14623076.711999997</v>
      </c>
      <c r="G52" s="83">
        <f t="shared" si="16"/>
        <v>24709005.023999996</v>
      </c>
      <c r="H52" s="83">
        <f t="shared" ref="H52:AG52" si="17">H58*H17</f>
        <v>45727266.68999999</v>
      </c>
      <c r="I52" s="83">
        <f t="shared" si="17"/>
        <v>42590347.279999994</v>
      </c>
      <c r="J52" s="83">
        <f t="shared" si="17"/>
        <v>42000332.736000001</v>
      </c>
      <c r="K52" s="83">
        <f t="shared" si="17"/>
        <v>63978168.684</v>
      </c>
      <c r="L52" s="83">
        <f t="shared" si="17"/>
        <v>115091041.95599999</v>
      </c>
      <c r="M52" s="83">
        <f t="shared" si="17"/>
        <v>103876691.35999998</v>
      </c>
      <c r="N52" s="83">
        <f t="shared" si="17"/>
        <v>66805812.215999991</v>
      </c>
      <c r="O52" s="83">
        <f t="shared" si="17"/>
        <v>92173311.557999998</v>
      </c>
      <c r="P52" s="83">
        <f t="shared" si="17"/>
        <v>103224830.80000001</v>
      </c>
      <c r="Q52" s="83">
        <f t="shared" si="17"/>
        <v>147921052.35600001</v>
      </c>
      <c r="R52" s="83">
        <f t="shared" si="17"/>
        <v>112793848.33500001</v>
      </c>
      <c r="S52" s="83">
        <f t="shared" si="17"/>
        <v>164453763.17999998</v>
      </c>
      <c r="T52" s="83">
        <f t="shared" si="17"/>
        <v>200775438.72000003</v>
      </c>
      <c r="U52" s="83">
        <f t="shared" si="17"/>
        <v>199419281.88</v>
      </c>
      <c r="V52" s="83">
        <f t="shared" si="17"/>
        <v>190556807.31</v>
      </c>
      <c r="W52" s="83">
        <f t="shared" si="17"/>
        <v>272733300.18000001</v>
      </c>
      <c r="X52" s="83">
        <f t="shared" si="17"/>
        <v>303032140.68000001</v>
      </c>
      <c r="Y52" s="83">
        <f t="shared" si="17"/>
        <v>474252398.63999999</v>
      </c>
      <c r="Z52" s="83">
        <f t="shared" si="17"/>
        <v>51926124.600000001</v>
      </c>
      <c r="AA52" s="83">
        <f t="shared" si="17"/>
        <v>12875987.046</v>
      </c>
      <c r="AB52" s="83">
        <f t="shared" si="17"/>
        <v>1985124.3060000003</v>
      </c>
      <c r="AC52" s="83">
        <f t="shared" si="17"/>
        <v>189504103.17299998</v>
      </c>
      <c r="AD52" s="83">
        <f t="shared" si="17"/>
        <v>101857.4316</v>
      </c>
      <c r="AE52" s="83">
        <f t="shared" si="17"/>
        <v>35627189.129999995</v>
      </c>
      <c r="AF52" s="83">
        <f t="shared" si="17"/>
        <v>928739.01119999995</v>
      </c>
      <c r="AG52" s="83">
        <f t="shared" si="17"/>
        <v>5991.8220000000047</v>
      </c>
    </row>
    <row r="53" spans="1:33" ht="15.75" thickBot="1" x14ac:dyDescent="0.3">
      <c r="A53" s="13" t="s">
        <v>134</v>
      </c>
      <c r="B53" s="81">
        <f t="shared" ref="B53:C53" si="18">LN(B52)</f>
        <v>16.315570004558101</v>
      </c>
      <c r="C53" s="81">
        <f t="shared" si="18"/>
        <v>16.740965249429649</v>
      </c>
      <c r="D53" s="81">
        <f t="shared" ref="D53:E53" si="19">LN(D52)</f>
        <v>17.122595526213459</v>
      </c>
      <c r="E53" s="81">
        <f t="shared" si="19"/>
        <v>16.736011543727862</v>
      </c>
      <c r="F53" s="81">
        <f t="shared" ref="F53:G53" si="20">LN(F52)</f>
        <v>16.498111435562613</v>
      </c>
      <c r="G53" s="81">
        <f t="shared" si="20"/>
        <v>17.022678311027015</v>
      </c>
      <c r="H53" s="81">
        <f t="shared" ref="H53:AG53" si="21">LN(H52)</f>
        <v>17.638205323237802</v>
      </c>
      <c r="I53" s="81">
        <f t="shared" si="21"/>
        <v>17.56713819589292</v>
      </c>
      <c r="J53" s="81">
        <f t="shared" si="21"/>
        <v>17.553188098501977</v>
      </c>
      <c r="K53" s="81">
        <f t="shared" si="21"/>
        <v>17.974052468818726</v>
      </c>
      <c r="L53" s="81">
        <f t="shared" si="21"/>
        <v>18.561234042305376</v>
      </c>
      <c r="M53" s="81">
        <f t="shared" si="21"/>
        <v>18.458715093654739</v>
      </c>
      <c r="N53" s="81">
        <f t="shared" si="21"/>
        <v>18.017300643943347</v>
      </c>
      <c r="O53" s="81">
        <f t="shared" si="21"/>
        <v>18.339181184129892</v>
      </c>
      <c r="P53" s="81">
        <f t="shared" si="21"/>
        <v>18.452419990597278</v>
      </c>
      <c r="Q53" s="81">
        <f t="shared" si="21"/>
        <v>18.81218925937695</v>
      </c>
      <c r="R53" s="81">
        <f t="shared" si="21"/>
        <v>18.541072359503854</v>
      </c>
      <c r="S53" s="81">
        <f t="shared" si="21"/>
        <v>18.918140013767133</v>
      </c>
      <c r="T53" s="81">
        <f t="shared" si="21"/>
        <v>19.117697621169025</v>
      </c>
      <c r="U53" s="81">
        <f t="shared" si="21"/>
        <v>19.110920110315412</v>
      </c>
      <c r="V53" s="81">
        <f t="shared" si="21"/>
        <v>19.065460909180281</v>
      </c>
      <c r="W53" s="81">
        <f t="shared" si="21"/>
        <v>19.424004953231936</v>
      </c>
      <c r="X53" s="81">
        <f t="shared" si="21"/>
        <v>19.52934943269959</v>
      </c>
      <c r="Y53" s="81">
        <f t="shared" si="21"/>
        <v>19.977250224520958</v>
      </c>
      <c r="Z53" s="81">
        <f t="shared" si="21"/>
        <v>17.765332585652725</v>
      </c>
      <c r="AA53" s="81">
        <f t="shared" si="21"/>
        <v>16.370874665342548</v>
      </c>
      <c r="AB53" s="81">
        <f t="shared" si="21"/>
        <v>14.501192092812735</v>
      </c>
      <c r="AC53" s="81">
        <f t="shared" si="21"/>
        <v>19.05992123488031</v>
      </c>
      <c r="AD53" s="81">
        <f t="shared" si="21"/>
        <v>11.53132938511971</v>
      </c>
      <c r="AE53" s="81">
        <f t="shared" si="21"/>
        <v>17.388619643928319</v>
      </c>
      <c r="AF53" s="81">
        <f t="shared" si="21"/>
        <v>13.741583043127152</v>
      </c>
      <c r="AG53" s="81">
        <f t="shared" si="21"/>
        <v>8.6981508184807819</v>
      </c>
    </row>
    <row r="54" spans="1:33" ht="15.75" thickBot="1" x14ac:dyDescent="0.3">
      <c r="A54" s="13" t="str">
        <f>A43</f>
        <v>HCE</v>
      </c>
      <c r="B54" s="52">
        <f t="shared" ref="B54:C54" si="22">B50/B25</f>
        <v>8.0855925317056556</v>
      </c>
      <c r="C54" s="52">
        <f t="shared" si="22"/>
        <v>8.0060889386040817</v>
      </c>
      <c r="D54" s="52">
        <f t="shared" ref="D54:E54" si="23">D50/D25</f>
        <v>9.1143348163094124</v>
      </c>
      <c r="E54" s="52">
        <f t="shared" si="23"/>
        <v>11.249903173944178</v>
      </c>
      <c r="F54" s="52">
        <f t="shared" ref="F54:G54" si="24">F50/F25</f>
        <v>9.3189472531859945</v>
      </c>
      <c r="G54" s="52">
        <f t="shared" si="24"/>
        <v>9.4852539767859838</v>
      </c>
      <c r="H54" s="52">
        <f t="shared" ref="H54:AG54" si="25">H50/H25</f>
        <v>14.537366638093822</v>
      </c>
      <c r="I54" s="52">
        <f t="shared" si="25"/>
        <v>10.43684682822559</v>
      </c>
      <c r="J54" s="52">
        <f t="shared" si="25"/>
        <v>11.73487576209979</v>
      </c>
      <c r="K54" s="52">
        <f t="shared" si="25"/>
        <v>11.311316596154333</v>
      </c>
      <c r="L54" s="52">
        <f t="shared" si="25"/>
        <v>11.764454054274575</v>
      </c>
      <c r="M54" s="52">
        <f t="shared" si="25"/>
        <v>11.032536775393918</v>
      </c>
      <c r="N54" s="52">
        <f t="shared" si="25"/>
        <v>11.236949949613704</v>
      </c>
      <c r="O54" s="52">
        <f t="shared" si="25"/>
        <v>11.104712982954608</v>
      </c>
      <c r="P54" s="52">
        <f t="shared" si="25"/>
        <v>12.261975132115245</v>
      </c>
      <c r="Q54" s="52">
        <f t="shared" si="25"/>
        <v>10.485993912966395</v>
      </c>
      <c r="R54" s="52">
        <f t="shared" si="25"/>
        <v>11.668545713128106</v>
      </c>
      <c r="S54" s="52">
        <f t="shared" si="25"/>
        <v>8.0536534339300747</v>
      </c>
      <c r="T54" s="52">
        <f t="shared" si="25"/>
        <v>11.001292550111089</v>
      </c>
      <c r="U54" s="52">
        <f t="shared" si="25"/>
        <v>12.259122376776983</v>
      </c>
      <c r="V54" s="52">
        <f t="shared" si="25"/>
        <v>11.590990481103701</v>
      </c>
      <c r="W54" s="52">
        <f t="shared" si="25"/>
        <v>16.965217470654618</v>
      </c>
      <c r="X54" s="52">
        <f t="shared" si="25"/>
        <v>10.585459438474556</v>
      </c>
      <c r="Y54" s="52">
        <f t="shared" si="25"/>
        <v>6.4602250808900781</v>
      </c>
      <c r="Z54" s="52">
        <f t="shared" si="25"/>
        <v>11.348237999819789</v>
      </c>
      <c r="AA54" s="52">
        <f t="shared" si="25"/>
        <v>9.8376491306825056</v>
      </c>
      <c r="AB54" s="52">
        <f t="shared" si="25"/>
        <v>8.3844689338652216</v>
      </c>
      <c r="AC54" s="52">
        <f t="shared" si="25"/>
        <v>7.6198862817437396</v>
      </c>
      <c r="AD54" s="52">
        <f t="shared" si="25"/>
        <v>5.953141941105649</v>
      </c>
      <c r="AE54" s="52">
        <f t="shared" si="25"/>
        <v>3.2253602592593618</v>
      </c>
      <c r="AF54" s="52">
        <f t="shared" si="25"/>
        <v>4.8108116619580379</v>
      </c>
      <c r="AG54" s="52">
        <f t="shared" si="25"/>
        <v>6.017131284316263</v>
      </c>
    </row>
    <row r="55" spans="1:33" ht="15.75" thickBot="1" x14ac:dyDescent="0.3">
      <c r="A55" s="13" t="str">
        <f t="shared" ref="A55:A56" si="26">A44</f>
        <v>CEE</v>
      </c>
      <c r="B55" s="52">
        <f t="shared" ref="B55:C55" si="27">B50/B10</f>
        <v>7.6774054546710629E-2</v>
      </c>
      <c r="C55" s="52">
        <f t="shared" si="27"/>
        <v>7.3614979760011676E-2</v>
      </c>
      <c r="D55" s="52">
        <f t="shared" ref="D55:E55" si="28">D50/D10</f>
        <v>7.1368039815448897E-2</v>
      </c>
      <c r="E55" s="52">
        <f t="shared" si="28"/>
        <v>8.6934897136519251E-2</v>
      </c>
      <c r="F55" s="52">
        <f t="shared" ref="F55:G55" si="29">F50/F10</f>
        <v>8.9170554801967852E-2</v>
      </c>
      <c r="G55" s="52">
        <f t="shared" si="29"/>
        <v>9.7224291600583157E-2</v>
      </c>
      <c r="H55" s="52">
        <f t="shared" ref="H55:AG55" si="30">H50/H10</f>
        <v>9.3750556490578715E-2</v>
      </c>
      <c r="I55" s="52">
        <f t="shared" si="30"/>
        <v>8.8767742973821701E-2</v>
      </c>
      <c r="J55" s="52">
        <f t="shared" si="30"/>
        <v>9.3351550496474436E-2</v>
      </c>
      <c r="K55" s="52">
        <f t="shared" si="30"/>
        <v>0.10176157268506641</v>
      </c>
      <c r="L55" s="52">
        <f t="shared" si="30"/>
        <v>0.10695633572460436</v>
      </c>
      <c r="M55" s="52">
        <f t="shared" si="30"/>
        <v>0.11194244434546372</v>
      </c>
      <c r="N55" s="52">
        <f t="shared" si="30"/>
        <v>0.15588988152254848</v>
      </c>
      <c r="O55" s="52">
        <f t="shared" si="30"/>
        <v>0.159625119622572</v>
      </c>
      <c r="P55" s="52">
        <f t="shared" si="30"/>
        <v>0.12854334494343311</v>
      </c>
      <c r="Q55" s="52">
        <f t="shared" si="30"/>
        <v>0.13248297177362883</v>
      </c>
      <c r="R55" s="52">
        <f t="shared" si="30"/>
        <v>0.14753295030250543</v>
      </c>
      <c r="S55" s="52">
        <f t="shared" si="30"/>
        <v>0.1105718667019522</v>
      </c>
      <c r="T55" s="52">
        <f t="shared" si="30"/>
        <v>0.11367479835396339</v>
      </c>
      <c r="U55" s="52">
        <f t="shared" si="30"/>
        <v>0.12865078818897438</v>
      </c>
      <c r="V55" s="52">
        <f t="shared" si="30"/>
        <v>0.1170423085131886</v>
      </c>
      <c r="W55" s="52">
        <f t="shared" si="30"/>
        <v>0.18732263334237911</v>
      </c>
      <c r="X55" s="52">
        <f t="shared" si="30"/>
        <v>0.12779916174660189</v>
      </c>
      <c r="Y55" s="52">
        <f t="shared" si="30"/>
        <v>0.13284884981457368</v>
      </c>
      <c r="Z55" s="52">
        <f t="shared" si="30"/>
        <v>0.10961993743130126</v>
      </c>
      <c r="AA55" s="52">
        <f t="shared" si="30"/>
        <v>0.1153777757978473</v>
      </c>
      <c r="AB55" s="52">
        <f t="shared" si="30"/>
        <v>0.12819117578154635</v>
      </c>
      <c r="AC55" s="52">
        <f t="shared" si="30"/>
        <v>0.14621256865321683</v>
      </c>
      <c r="AD55" s="52">
        <f t="shared" si="30"/>
        <v>7.9314450687426541E-2</v>
      </c>
      <c r="AE55" s="52">
        <f t="shared" si="30"/>
        <v>0.10624810033893509</v>
      </c>
      <c r="AF55" s="52">
        <f t="shared" si="30"/>
        <v>0.10977684648852298</v>
      </c>
      <c r="AG55" s="52">
        <f t="shared" si="30"/>
        <v>0.10313376262127187</v>
      </c>
    </row>
    <row r="56" spans="1:33" ht="15.75" thickBot="1" x14ac:dyDescent="0.3">
      <c r="A56" s="13" t="str">
        <f t="shared" si="26"/>
        <v>SCE</v>
      </c>
      <c r="B56" s="52">
        <f t="shared" ref="B56:C56" si="31">(B50-B25)/B50</f>
        <v>0.87632322602471657</v>
      </c>
      <c r="C56" s="52">
        <f t="shared" si="31"/>
        <v>0.87509506730831332</v>
      </c>
      <c r="D56" s="52">
        <f t="shared" ref="D56:E56" si="32">(D50-D25)/D50</f>
        <v>0.89028272274894094</v>
      </c>
      <c r="E56" s="52">
        <f t="shared" si="32"/>
        <v>0.9111103460591472</v>
      </c>
      <c r="F56" s="52">
        <f t="shared" ref="F56:G56" si="33">(F50-F25)/F50</f>
        <v>0.89269174158506837</v>
      </c>
      <c r="G56" s="52">
        <f t="shared" si="33"/>
        <v>0.89457319725466711</v>
      </c>
      <c r="H56" s="52">
        <f t="shared" ref="H56:AG56" si="34">(H50-H25)/H50</f>
        <v>0.93121175073210349</v>
      </c>
      <c r="I56" s="52">
        <f t="shared" si="34"/>
        <v>0.90418562076664932</v>
      </c>
      <c r="J56" s="52">
        <f t="shared" si="34"/>
        <v>0.91478392952146059</v>
      </c>
      <c r="K56" s="52">
        <f t="shared" si="34"/>
        <v>0.91159296165930115</v>
      </c>
      <c r="L56" s="52">
        <f t="shared" si="34"/>
        <v>0.91499818050318682</v>
      </c>
      <c r="M56" s="52">
        <f t="shared" si="34"/>
        <v>0.90935901503357597</v>
      </c>
      <c r="N56" s="52">
        <f t="shared" si="34"/>
        <v>0.91100787985316445</v>
      </c>
      <c r="O56" s="52">
        <f t="shared" si="34"/>
        <v>0.90994814530236223</v>
      </c>
      <c r="P56" s="52">
        <f t="shared" si="34"/>
        <v>0.91844706996828696</v>
      </c>
      <c r="Q56" s="52">
        <f t="shared" si="34"/>
        <v>0.90463469573795419</v>
      </c>
      <c r="R56" s="52">
        <f t="shared" si="34"/>
        <v>0.91429951730189352</v>
      </c>
      <c r="S56" s="52">
        <f t="shared" si="34"/>
        <v>0.87583274991856541</v>
      </c>
      <c r="T56" s="52">
        <f t="shared" si="34"/>
        <v>0.90910159006816871</v>
      </c>
      <c r="U56" s="52">
        <f t="shared" si="34"/>
        <v>0.91842809221854693</v>
      </c>
      <c r="V56" s="52">
        <f t="shared" si="34"/>
        <v>0.91372609600273091</v>
      </c>
      <c r="W56" s="52">
        <f t="shared" si="34"/>
        <v>0.94105586906093375</v>
      </c>
      <c r="X56" s="52">
        <f t="shared" si="34"/>
        <v>0.90553078911574314</v>
      </c>
      <c r="Y56" s="52">
        <f t="shared" si="34"/>
        <v>0.84520663173825183</v>
      </c>
      <c r="Z56" s="52">
        <f t="shared" si="34"/>
        <v>0.91188059326779358</v>
      </c>
      <c r="AA56" s="52">
        <f t="shared" si="34"/>
        <v>0.89834969851881441</v>
      </c>
      <c r="AB56" s="52">
        <f t="shared" si="34"/>
        <v>0.8807318617448795</v>
      </c>
      <c r="AC56" s="52">
        <f t="shared" si="34"/>
        <v>0.86876444568524991</v>
      </c>
      <c r="AD56" s="52">
        <f t="shared" si="34"/>
        <v>0.83202147540021953</v>
      </c>
      <c r="AE56" s="52">
        <f t="shared" si="34"/>
        <v>0.68995711498298495</v>
      </c>
      <c r="AF56" s="52">
        <f t="shared" si="34"/>
        <v>0.79213486823697599</v>
      </c>
      <c r="AG56" s="52">
        <f t="shared" si="34"/>
        <v>0.83380784750259418</v>
      </c>
    </row>
    <row r="57" spans="1:33" ht="15.75" thickBot="1" x14ac:dyDescent="0.3">
      <c r="A57" s="13" t="str">
        <f>A46</f>
        <v>VAIC</v>
      </c>
      <c r="B57" s="52">
        <f t="shared" ref="B57:C57" si="35">SUM(B54:B56)</f>
        <v>9.0386898122770827</v>
      </c>
      <c r="C57" s="52">
        <f t="shared" si="35"/>
        <v>8.9547989856724062</v>
      </c>
      <c r="D57" s="52">
        <f t="shared" ref="D57:E57" si="36">SUM(D54:D56)</f>
        <v>10.075985578873802</v>
      </c>
      <c r="E57" s="52">
        <f t="shared" si="36"/>
        <v>12.247948417139844</v>
      </c>
      <c r="F57" s="52">
        <f t="shared" ref="F57:G57" si="37">SUM(F54:F56)</f>
        <v>10.30080954957303</v>
      </c>
      <c r="G57" s="52">
        <f t="shared" si="37"/>
        <v>10.477051465641233</v>
      </c>
      <c r="H57" s="52">
        <f t="shared" ref="H57:AG57" si="38">SUM(H54:H56)</f>
        <v>15.562328945316503</v>
      </c>
      <c r="I57" s="52">
        <f t="shared" si="38"/>
        <v>11.429800191966061</v>
      </c>
      <c r="J57" s="52">
        <f t="shared" si="38"/>
        <v>12.743011242117726</v>
      </c>
      <c r="K57" s="52">
        <f t="shared" si="38"/>
        <v>12.3246711304987</v>
      </c>
      <c r="L57" s="52">
        <f t="shared" si="38"/>
        <v>12.786408570502365</v>
      </c>
      <c r="M57" s="52">
        <f t="shared" si="38"/>
        <v>12.053838234772959</v>
      </c>
      <c r="N57" s="52">
        <f t="shared" si="38"/>
        <v>12.303847710989418</v>
      </c>
      <c r="O57" s="52">
        <f t="shared" si="38"/>
        <v>12.174286247879541</v>
      </c>
      <c r="P57" s="52">
        <f t="shared" si="38"/>
        <v>13.308965547026965</v>
      </c>
      <c r="Q57" s="52">
        <f t="shared" si="38"/>
        <v>11.523111580477977</v>
      </c>
      <c r="R57" s="52">
        <f t="shared" si="38"/>
        <v>12.730378180732504</v>
      </c>
      <c r="S57" s="52">
        <f t="shared" si="38"/>
        <v>9.0400580505505932</v>
      </c>
      <c r="T57" s="52">
        <f t="shared" si="38"/>
        <v>12.024068938533221</v>
      </c>
      <c r="U57" s="52">
        <f t="shared" si="38"/>
        <v>13.306201257184503</v>
      </c>
      <c r="V57" s="52">
        <f t="shared" si="38"/>
        <v>12.62175888561962</v>
      </c>
      <c r="W57" s="52">
        <f t="shared" si="38"/>
        <v>18.09359597305793</v>
      </c>
      <c r="X57" s="52">
        <f t="shared" si="38"/>
        <v>11.6187893893369</v>
      </c>
      <c r="Y57" s="52">
        <f t="shared" si="38"/>
        <v>7.4382805624429036</v>
      </c>
      <c r="Z57" s="52">
        <f t="shared" si="38"/>
        <v>12.369738530518884</v>
      </c>
      <c r="AA57" s="52">
        <f t="shared" si="38"/>
        <v>10.851376604999167</v>
      </c>
      <c r="AB57" s="52">
        <f t="shared" si="38"/>
        <v>9.3933919713916474</v>
      </c>
      <c r="AC57" s="52">
        <f t="shared" si="38"/>
        <v>8.6348632960822069</v>
      </c>
      <c r="AD57" s="52">
        <f t="shared" si="38"/>
        <v>6.8644778671932949</v>
      </c>
      <c r="AE57" s="52">
        <f t="shared" si="38"/>
        <v>4.0215654745812817</v>
      </c>
      <c r="AF57" s="52">
        <f t="shared" si="38"/>
        <v>5.7127233766835364</v>
      </c>
      <c r="AG57" s="52">
        <f t="shared" si="38"/>
        <v>6.9540728944401291</v>
      </c>
    </row>
    <row r="58" spans="1:33" x14ac:dyDescent="0.25">
      <c r="A58" s="88" t="s">
        <v>136</v>
      </c>
      <c r="B58" s="89">
        <f t="shared" ref="B58:AG58" si="39">B32*B18</f>
        <v>291464.55</v>
      </c>
      <c r="C58" s="89">
        <f t="shared" si="39"/>
        <v>485487</v>
      </c>
      <c r="D58" s="89">
        <f t="shared" si="39"/>
        <v>840166.56</v>
      </c>
      <c r="E58" s="89">
        <f t="shared" si="39"/>
        <v>657821.94000000006</v>
      </c>
      <c r="F58" s="89">
        <f t="shared" si="39"/>
        <v>465703.07999999996</v>
      </c>
      <c r="G58" s="89">
        <f t="shared" si="39"/>
        <v>774576.96</v>
      </c>
      <c r="H58" s="89">
        <f t="shared" si="39"/>
        <v>1209716.0499999998</v>
      </c>
      <c r="I58" s="89">
        <f t="shared" si="39"/>
        <v>1078236.6399999999</v>
      </c>
      <c r="J58" s="89">
        <f t="shared" si="39"/>
        <v>919044.48</v>
      </c>
      <c r="K58" s="89">
        <f t="shared" si="39"/>
        <v>1467389.19</v>
      </c>
      <c r="L58" s="89">
        <f t="shared" si="39"/>
        <v>2377914.09</v>
      </c>
      <c r="M58" s="89">
        <f t="shared" si="39"/>
        <v>2069256.7999999996</v>
      </c>
      <c r="N58" s="89">
        <f t="shared" si="39"/>
        <v>1427474.6199999999</v>
      </c>
      <c r="O58" s="89">
        <f t="shared" si="39"/>
        <v>1932354.5399999998</v>
      </c>
      <c r="P58" s="89">
        <f t="shared" si="39"/>
        <v>2141594</v>
      </c>
      <c r="Q58" s="89">
        <f t="shared" si="39"/>
        <v>3101070.28</v>
      </c>
      <c r="R58" s="89">
        <f t="shared" si="39"/>
        <v>1895694.9300000002</v>
      </c>
      <c r="S58" s="89">
        <f t="shared" si="39"/>
        <v>2885153.7399999998</v>
      </c>
      <c r="T58" s="89">
        <f t="shared" si="39"/>
        <v>3264641.2800000003</v>
      </c>
      <c r="U58" s="89">
        <f t="shared" si="39"/>
        <v>2890134.52</v>
      </c>
      <c r="V58" s="89">
        <f t="shared" si="39"/>
        <v>2330970.12</v>
      </c>
      <c r="W58" s="89">
        <f t="shared" si="39"/>
        <v>3367077.78</v>
      </c>
      <c r="X58" s="89">
        <f t="shared" si="39"/>
        <v>3575600.48</v>
      </c>
      <c r="Y58" s="89">
        <f t="shared" si="39"/>
        <v>5546811.6799999997</v>
      </c>
      <c r="Z58" s="89">
        <f t="shared" si="39"/>
        <v>559850.4</v>
      </c>
      <c r="AA58" s="89">
        <f t="shared" si="39"/>
        <v>157427.4</v>
      </c>
      <c r="AB58" s="89">
        <f t="shared" si="39"/>
        <v>22008.030000000002</v>
      </c>
      <c r="AC58" s="89">
        <f t="shared" si="39"/>
        <v>4317705.6999999993</v>
      </c>
      <c r="AD58" s="89">
        <f t="shared" si="39"/>
        <v>2671.3199999999997</v>
      </c>
      <c r="AE58" s="89">
        <f t="shared" si="39"/>
        <v>1054058.8499999999</v>
      </c>
      <c r="AF58" s="89">
        <f t="shared" si="39"/>
        <v>33240.479999999996</v>
      </c>
      <c r="AG58" s="89">
        <f t="shared" si="39"/>
        <v>211.80000000000018</v>
      </c>
    </row>
    <row r="60" spans="1:33" s="82" customFormat="1" ht="12" x14ac:dyDescent="0.2">
      <c r="B60" s="148">
        <f t="shared" ref="B60:AG60" si="40">B50/(B10-B9)</f>
        <v>7.7398352762160158E-2</v>
      </c>
      <c r="C60" s="148">
        <f t="shared" si="40"/>
        <v>7.3990979401331994E-2</v>
      </c>
      <c r="D60" s="148">
        <f t="shared" si="40"/>
        <v>7.1901102428893485E-2</v>
      </c>
      <c r="E60" s="148">
        <f t="shared" si="40"/>
        <v>8.9437168097211139E-2</v>
      </c>
      <c r="F60" s="148">
        <f t="shared" si="40"/>
        <v>9.1924520084783176E-2</v>
      </c>
      <c r="G60" s="148">
        <f t="shared" si="40"/>
        <v>0.10077940271424651</v>
      </c>
      <c r="H60" s="148">
        <f t="shared" si="40"/>
        <v>9.7482867174568472E-2</v>
      </c>
      <c r="I60" s="148">
        <f t="shared" si="40"/>
        <v>9.1320810496798924E-2</v>
      </c>
      <c r="J60" s="146">
        <f t="shared" si="40"/>
        <v>9.6486873182279845E-2</v>
      </c>
      <c r="K60" s="146">
        <f t="shared" si="40"/>
        <v>0.10582176411873165</v>
      </c>
      <c r="L60" s="148">
        <f t="shared" si="40"/>
        <v>0.11131451604848309</v>
      </c>
      <c r="M60" s="148">
        <f t="shared" si="40"/>
        <v>0.11709277602775325</v>
      </c>
      <c r="N60" s="148">
        <f t="shared" si="40"/>
        <v>0.1659125985095771</v>
      </c>
      <c r="O60" s="148">
        <f t="shared" si="40"/>
        <v>0.16959349803229751</v>
      </c>
      <c r="P60" s="148">
        <f t="shared" si="40"/>
        <v>0.13488385228622002</v>
      </c>
      <c r="Q60" s="148">
        <f t="shared" si="40"/>
        <v>0.14102961476543038</v>
      </c>
      <c r="R60" s="148">
        <f t="shared" si="40"/>
        <v>0.1569815566599084</v>
      </c>
      <c r="S60" s="148">
        <f t="shared" si="40"/>
        <v>0.11539507579871361</v>
      </c>
      <c r="T60" s="148">
        <f t="shared" si="40"/>
        <v>0.11703286133881707</v>
      </c>
      <c r="U60" s="148">
        <f t="shared" si="40"/>
        <v>0.13262672987690616</v>
      </c>
      <c r="V60" s="148">
        <f t="shared" si="40"/>
        <v>0.12066632675564577</v>
      </c>
      <c r="W60" s="148">
        <f t="shared" si="40"/>
        <v>0.19573759025662721</v>
      </c>
      <c r="X60" s="148">
        <f t="shared" si="40"/>
        <v>0.13204008838372708</v>
      </c>
      <c r="Y60" s="148">
        <f t="shared" si="40"/>
        <v>0.13608997170529202</v>
      </c>
      <c r="Z60" s="148">
        <f t="shared" si="40"/>
        <v>0.11267290682500349</v>
      </c>
      <c r="AA60" s="148">
        <f t="shared" si="40"/>
        <v>0.11911536998492397</v>
      </c>
      <c r="AB60" s="148">
        <f t="shared" si="40"/>
        <v>0.13283361933460924</v>
      </c>
      <c r="AC60" s="148">
        <f t="shared" si="40"/>
        <v>0.15280566199450116</v>
      </c>
      <c r="AD60" s="148">
        <f t="shared" si="40"/>
        <v>8.0291705754720749E-2</v>
      </c>
      <c r="AE60" s="148">
        <f t="shared" si="40"/>
        <v>0.10804793691874409</v>
      </c>
      <c r="AF60" s="148">
        <f t="shared" si="40"/>
        <v>0.11252324529795885</v>
      </c>
      <c r="AG60" s="148">
        <f t="shared" si="40"/>
        <v>0.10514809910797815</v>
      </c>
    </row>
    <row r="61" spans="1:33" s="45" customFormat="1" ht="15.75" thickBot="1" x14ac:dyDescent="0.3">
      <c r="A61" s="147"/>
      <c r="B61" s="52">
        <f t="shared" ref="B61:AG61" si="41">B50/B9</f>
        <v>9.5181841141558277</v>
      </c>
      <c r="C61" s="52">
        <f t="shared" si="41"/>
        <v>14.486302252645748</v>
      </c>
      <c r="D61" s="52">
        <f t="shared" si="41"/>
        <v>9.6263377162415402</v>
      </c>
      <c r="E61" s="52">
        <f t="shared" si="41"/>
        <v>3.1072618157078957</v>
      </c>
      <c r="F61" s="52">
        <f t="shared" si="41"/>
        <v>2.9764211288405136</v>
      </c>
      <c r="G61" s="52">
        <f t="shared" si="41"/>
        <v>2.7560899571226019</v>
      </c>
      <c r="H61" s="52">
        <f t="shared" si="41"/>
        <v>2.4486367346416875</v>
      </c>
      <c r="I61" s="52">
        <f t="shared" si="41"/>
        <v>3.1751382058582873</v>
      </c>
      <c r="J61" s="52">
        <f t="shared" si="41"/>
        <v>2.8728140981790937</v>
      </c>
      <c r="K61" s="52">
        <f t="shared" si="41"/>
        <v>2.6522368013838222</v>
      </c>
      <c r="L61" s="52">
        <f t="shared" si="41"/>
        <v>2.7318265571231324</v>
      </c>
      <c r="M61" s="52">
        <f t="shared" si="41"/>
        <v>2.5450111511877878</v>
      </c>
      <c r="N61" s="52">
        <f t="shared" si="41"/>
        <v>2.5805473065067526</v>
      </c>
      <c r="O61" s="52">
        <f t="shared" si="41"/>
        <v>2.715725797909526</v>
      </c>
      <c r="P61" s="52">
        <f t="shared" si="41"/>
        <v>2.7345479808411945</v>
      </c>
      <c r="Q61" s="52">
        <f t="shared" si="41"/>
        <v>2.1861241296889431</v>
      </c>
      <c r="R61" s="52">
        <f t="shared" si="41"/>
        <v>2.4511500766428269</v>
      </c>
      <c r="S61" s="52">
        <f t="shared" si="41"/>
        <v>2.6454272836407817</v>
      </c>
      <c r="T61" s="52">
        <f t="shared" si="41"/>
        <v>3.9617145281320747</v>
      </c>
      <c r="U61" s="52">
        <f t="shared" si="41"/>
        <v>4.2914445615186638</v>
      </c>
      <c r="V61" s="52">
        <f t="shared" si="41"/>
        <v>3.8970734964379625</v>
      </c>
      <c r="W61" s="52">
        <f t="shared" si="41"/>
        <v>4.3572511689133497</v>
      </c>
      <c r="X61" s="52">
        <f t="shared" si="41"/>
        <v>3.9789918704715919</v>
      </c>
      <c r="Y61" s="52">
        <f t="shared" si="41"/>
        <v>5.5781290620757389</v>
      </c>
      <c r="Z61" s="52">
        <f t="shared" si="41"/>
        <v>4.0456340708289487</v>
      </c>
      <c r="AA61" s="52">
        <f t="shared" si="41"/>
        <v>3.6770354844080533</v>
      </c>
      <c r="AB61" s="52">
        <f t="shared" si="41"/>
        <v>3.6679170465276716</v>
      </c>
      <c r="AC61" s="52">
        <f t="shared" si="41"/>
        <v>3.388714096472826</v>
      </c>
      <c r="AD61" s="52">
        <f t="shared" si="41"/>
        <v>6.5165101208679195</v>
      </c>
      <c r="AE61" s="52">
        <f t="shared" si="41"/>
        <v>6.3782946584938705</v>
      </c>
      <c r="AF61" s="52">
        <f t="shared" si="41"/>
        <v>4.4976887489991864</v>
      </c>
      <c r="AG61" s="52">
        <f t="shared" si="41"/>
        <v>5.3835688153632004</v>
      </c>
    </row>
    <row r="62" spans="1:33" ht="15.75" thickBot="1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4"/>
      <c r="O62" s="15"/>
      <c r="P62" s="15"/>
      <c r="Q62" s="15"/>
      <c r="R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G76"/>
  <sheetViews>
    <sheetView workbookViewId="0">
      <pane xSplit="1" ySplit="4" topLeftCell="Y5" activePane="bottomRight" state="frozenSplit"/>
      <selection pane="topRight" activeCell="B1" sqref="B1"/>
      <selection pane="bottomLeft" activeCell="A4" sqref="A4"/>
      <selection pane="bottomRight" activeCell="AF15" sqref="AF15"/>
    </sheetView>
  </sheetViews>
  <sheetFormatPr defaultRowHeight="15" x14ac:dyDescent="0.25"/>
  <cols>
    <col min="1" max="1" width="32.85546875" bestFit="1" customWidth="1"/>
    <col min="2" max="13" width="13.42578125" style="8" customWidth="1"/>
    <col min="14" max="14" width="11.42578125" customWidth="1"/>
    <col min="15" max="15" width="12.140625" customWidth="1"/>
    <col min="16" max="16" width="10.7109375" customWidth="1"/>
    <col min="17" max="17" width="10.7109375" style="59" customWidth="1"/>
    <col min="18" max="18" width="11.42578125" customWidth="1"/>
    <col min="19" max="20" width="11" customWidth="1"/>
    <col min="21" max="21" width="11.5703125" customWidth="1"/>
    <col min="22" max="22" width="11.42578125" customWidth="1"/>
    <col min="23" max="23" width="11.28515625" customWidth="1"/>
    <col min="24" max="24" width="11.7109375" customWidth="1"/>
    <col min="25" max="25" width="11.42578125" customWidth="1"/>
    <col min="26" max="26" width="12" customWidth="1"/>
    <col min="27" max="27" width="11.140625" customWidth="1"/>
    <col min="28" max="28" width="12.7109375" customWidth="1"/>
    <col min="29" max="29" width="11.5703125" customWidth="1"/>
    <col min="30" max="30" width="11.140625" customWidth="1"/>
    <col min="31" max="32" width="11.7109375" customWidth="1"/>
    <col min="33" max="33" width="11.140625" customWidth="1"/>
  </cols>
  <sheetData>
    <row r="2" spans="1:33" x14ac:dyDescent="0.25">
      <c r="Q2" s="128" t="s">
        <v>53</v>
      </c>
    </row>
    <row r="4" spans="1:33" x14ac:dyDescent="0.25">
      <c r="A4" s="8" t="s">
        <v>1</v>
      </c>
      <c r="B4" s="1" t="s">
        <v>61</v>
      </c>
      <c r="C4" s="1" t="s">
        <v>62</v>
      </c>
      <c r="D4" s="1" t="s">
        <v>70</v>
      </c>
      <c r="E4" s="1" t="s">
        <v>63</v>
      </c>
      <c r="F4" s="29" t="s">
        <v>64</v>
      </c>
      <c r="G4" s="29" t="s">
        <v>65</v>
      </c>
      <c r="H4" s="29" t="s">
        <v>66</v>
      </c>
      <c r="I4" s="29" t="s">
        <v>67</v>
      </c>
      <c r="J4" s="1" t="s">
        <v>68</v>
      </c>
      <c r="K4" s="1" t="s">
        <v>69</v>
      </c>
      <c r="L4" s="1" t="s">
        <v>71</v>
      </c>
      <c r="M4" s="1" t="s">
        <v>72</v>
      </c>
      <c r="N4" s="1" t="s">
        <v>14</v>
      </c>
      <c r="O4" s="1" t="s">
        <v>15</v>
      </c>
      <c r="P4" s="1" t="s">
        <v>16</v>
      </c>
      <c r="Q4" s="129" t="s">
        <v>17</v>
      </c>
      <c r="R4" s="4" t="s">
        <v>18</v>
      </c>
      <c r="S4" s="4" t="s">
        <v>19</v>
      </c>
      <c r="T4" s="4" t="s">
        <v>20</v>
      </c>
      <c r="U4" s="4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1" t="s">
        <v>26</v>
      </c>
      <c r="AA4" s="1" t="s">
        <v>27</v>
      </c>
      <c r="AB4" s="1" t="s">
        <v>28</v>
      </c>
      <c r="AC4" s="1" t="s">
        <v>29</v>
      </c>
      <c r="AD4" s="4" t="s">
        <v>30</v>
      </c>
      <c r="AE4" s="4" t="s">
        <v>31</v>
      </c>
      <c r="AF4" s="4" t="s">
        <v>32</v>
      </c>
      <c r="AG4" s="4" t="s">
        <v>33</v>
      </c>
    </row>
    <row r="5" spans="1:33" ht="15.75" thickBot="1" x14ac:dyDescent="0.3">
      <c r="A5" s="8" t="s">
        <v>2</v>
      </c>
      <c r="B5" s="8">
        <v>200174</v>
      </c>
      <c r="C5" s="8">
        <v>209745</v>
      </c>
      <c r="D5" s="8">
        <v>243467</v>
      </c>
      <c r="E5" s="8">
        <v>234198</v>
      </c>
      <c r="F5" s="8">
        <v>219569</v>
      </c>
      <c r="G5" s="8">
        <v>222984</v>
      </c>
      <c r="H5" s="8">
        <v>226867</v>
      </c>
      <c r="I5" s="8">
        <v>209556</v>
      </c>
      <c r="J5" s="8">
        <v>152749</v>
      </c>
      <c r="K5" s="8">
        <v>414029</v>
      </c>
      <c r="L5" s="8">
        <v>474062</v>
      </c>
      <c r="M5" s="8">
        <v>349953</v>
      </c>
      <c r="N5" s="43">
        <v>31745</v>
      </c>
      <c r="O5" s="43">
        <v>34517</v>
      </c>
      <c r="P5" s="43">
        <v>32651</v>
      </c>
      <c r="Q5" s="130">
        <v>118506</v>
      </c>
      <c r="R5" s="25">
        <v>87833</v>
      </c>
      <c r="S5" s="43">
        <v>253315</v>
      </c>
      <c r="T5" s="43">
        <v>170610</v>
      </c>
      <c r="U5" s="43">
        <v>215064</v>
      </c>
      <c r="V5" s="25" t="s">
        <v>52</v>
      </c>
      <c r="W5" s="70">
        <v>161669</v>
      </c>
      <c r="X5" s="70">
        <v>183740</v>
      </c>
      <c r="Y5" s="70">
        <v>151217</v>
      </c>
      <c r="Z5" s="22">
        <v>119940</v>
      </c>
      <c r="AA5" s="70">
        <v>289636</v>
      </c>
      <c r="AB5" s="70">
        <v>350709</v>
      </c>
      <c r="AC5" s="70">
        <v>376391</v>
      </c>
      <c r="AD5" s="25">
        <v>316414</v>
      </c>
      <c r="AE5" s="25">
        <v>361228</v>
      </c>
      <c r="AF5" s="25">
        <v>382045</v>
      </c>
      <c r="AG5" s="25">
        <v>399750</v>
      </c>
    </row>
    <row r="6" spans="1:33" ht="15.75" thickBot="1" x14ac:dyDescent="0.3">
      <c r="A6" s="8" t="s">
        <v>3</v>
      </c>
      <c r="B6" s="8">
        <v>18946</v>
      </c>
      <c r="C6" s="8">
        <v>19936</v>
      </c>
      <c r="D6" s="8">
        <v>20719</v>
      </c>
      <c r="E6" s="8">
        <v>23284</v>
      </c>
      <c r="F6" s="8">
        <v>22740</v>
      </c>
      <c r="G6" s="8">
        <v>21736</v>
      </c>
      <c r="H6" s="8">
        <v>26004</v>
      </c>
      <c r="I6" s="8">
        <v>22329</v>
      </c>
      <c r="J6" s="8">
        <v>15319</v>
      </c>
      <c r="K6" s="8">
        <v>15296</v>
      </c>
      <c r="L6" s="8">
        <v>13760</v>
      </c>
      <c r="M6" s="8">
        <v>10973</v>
      </c>
      <c r="N6" s="43">
        <v>80463</v>
      </c>
      <c r="O6" s="43">
        <v>9034</v>
      </c>
      <c r="P6" s="43">
        <v>8468</v>
      </c>
      <c r="Q6" s="130">
        <v>7915</v>
      </c>
      <c r="R6" s="25">
        <v>7276</v>
      </c>
      <c r="S6" s="43">
        <v>5103</v>
      </c>
      <c r="T6" s="43">
        <v>22412</v>
      </c>
      <c r="U6" s="43">
        <v>6978</v>
      </c>
      <c r="V6" s="25">
        <v>9453</v>
      </c>
      <c r="W6" s="70">
        <v>7811</v>
      </c>
      <c r="X6" s="70">
        <v>5583</v>
      </c>
      <c r="Y6" s="75">
        <v>6467</v>
      </c>
      <c r="Z6" s="22">
        <v>5904</v>
      </c>
      <c r="AA6" s="75">
        <v>5597</v>
      </c>
      <c r="AB6" s="75">
        <v>5654</v>
      </c>
      <c r="AC6" s="75">
        <v>2958</v>
      </c>
      <c r="AD6" s="25">
        <v>3236</v>
      </c>
      <c r="AE6" s="25">
        <v>5150</v>
      </c>
      <c r="AF6" s="25">
        <v>3936</v>
      </c>
      <c r="AG6" s="25">
        <v>4963</v>
      </c>
    </row>
    <row r="7" spans="1:33" ht="15.75" thickBot="1" x14ac:dyDescent="0.3">
      <c r="A7" s="8" t="s">
        <v>4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130">
        <v>0</v>
      </c>
      <c r="R7" s="44">
        <v>0</v>
      </c>
      <c r="S7" s="43">
        <v>0</v>
      </c>
      <c r="T7" s="43">
        <v>0</v>
      </c>
      <c r="U7" s="43">
        <v>0</v>
      </c>
      <c r="V7" s="44">
        <v>0</v>
      </c>
      <c r="W7" s="70">
        <v>0</v>
      </c>
      <c r="X7" s="70">
        <v>0</v>
      </c>
      <c r="Y7" s="75">
        <v>0</v>
      </c>
      <c r="Z7" s="74">
        <v>0</v>
      </c>
      <c r="AA7" s="75">
        <v>0</v>
      </c>
      <c r="AB7" s="75">
        <v>0</v>
      </c>
      <c r="AC7" s="75">
        <v>0</v>
      </c>
      <c r="AD7" s="44">
        <v>0</v>
      </c>
      <c r="AE7" s="44">
        <v>0</v>
      </c>
      <c r="AF7" s="44">
        <v>0</v>
      </c>
      <c r="AG7" s="44">
        <v>0</v>
      </c>
    </row>
    <row r="8" spans="1:33" ht="15.75" thickBot="1" x14ac:dyDescent="0.3">
      <c r="A8" s="8" t="s">
        <v>5</v>
      </c>
      <c r="B8" s="8">
        <v>1143765</v>
      </c>
      <c r="C8" s="8">
        <v>1154721</v>
      </c>
      <c r="D8" s="8">
        <v>1186300</v>
      </c>
      <c r="E8" s="8">
        <v>11433628</v>
      </c>
      <c r="F8" s="8">
        <v>1166583</v>
      </c>
      <c r="G8" s="8">
        <v>1149064</v>
      </c>
      <c r="H8" s="8">
        <v>1165395</v>
      </c>
      <c r="I8" s="8">
        <v>1132907</v>
      </c>
      <c r="J8" s="8">
        <v>1137644</v>
      </c>
      <c r="K8" s="8">
        <v>1172573</v>
      </c>
      <c r="L8" s="8">
        <v>1197467</v>
      </c>
      <c r="M8" s="8">
        <v>1187364</v>
      </c>
      <c r="N8" s="43">
        <v>1198451</v>
      </c>
      <c r="O8" s="43">
        <v>1254094</v>
      </c>
      <c r="P8" s="43">
        <v>1259776</v>
      </c>
      <c r="Q8" s="130">
        <v>1197340</v>
      </c>
      <c r="R8" s="25">
        <v>1181373</v>
      </c>
      <c r="S8" s="43">
        <v>1175502</v>
      </c>
      <c r="T8" s="43">
        <v>1100388</v>
      </c>
      <c r="U8" s="43">
        <v>1067695</v>
      </c>
      <c r="V8" s="25">
        <v>1049583</v>
      </c>
      <c r="W8" s="70">
        <v>928140</v>
      </c>
      <c r="X8" s="70">
        <v>894566</v>
      </c>
      <c r="Y8" s="75">
        <v>856468</v>
      </c>
      <c r="Z8" s="22">
        <v>823837</v>
      </c>
      <c r="AA8" s="75">
        <v>863982</v>
      </c>
      <c r="AB8" s="75">
        <v>678889</v>
      </c>
      <c r="AC8" s="75">
        <v>657221</v>
      </c>
      <c r="AD8" s="25">
        <v>1248573</v>
      </c>
      <c r="AE8" s="25">
        <v>495496</v>
      </c>
      <c r="AF8" s="25">
        <v>462092</v>
      </c>
      <c r="AG8" s="25">
        <v>430382</v>
      </c>
    </row>
    <row r="9" spans="1:33" s="8" customFormat="1" x14ac:dyDescent="0.25">
      <c r="A9" s="8" t="s">
        <v>142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R9" s="8">
        <v>94501</v>
      </c>
      <c r="S9" s="8">
        <v>0</v>
      </c>
      <c r="T9" s="8">
        <v>94501</v>
      </c>
      <c r="U9" s="8">
        <v>94501</v>
      </c>
      <c r="V9" s="8">
        <v>89627</v>
      </c>
      <c r="W9" s="8">
        <v>0</v>
      </c>
      <c r="X9" s="8">
        <v>0</v>
      </c>
      <c r="Y9" s="82">
        <v>91658</v>
      </c>
      <c r="Z9" s="82">
        <v>93003</v>
      </c>
      <c r="AA9" s="82">
        <v>98400</v>
      </c>
      <c r="AB9" s="82">
        <v>95539</v>
      </c>
      <c r="AC9" s="82">
        <v>93613</v>
      </c>
      <c r="AD9" s="82">
        <v>2459</v>
      </c>
      <c r="AE9" s="82">
        <v>5682</v>
      </c>
      <c r="AF9" s="82">
        <v>4298</v>
      </c>
      <c r="AG9" s="82">
        <v>3146</v>
      </c>
    </row>
    <row r="10" spans="1:33" ht="15.75" thickBot="1" x14ac:dyDescent="0.3">
      <c r="A10" s="8" t="s">
        <v>6</v>
      </c>
      <c r="B10" s="8">
        <v>38974</v>
      </c>
      <c r="C10" s="8">
        <v>41163</v>
      </c>
      <c r="D10" s="8">
        <v>41935</v>
      </c>
      <c r="E10" s="8">
        <v>39904</v>
      </c>
      <c r="F10" s="8">
        <v>41184</v>
      </c>
      <c r="G10" s="8">
        <v>40087</v>
      </c>
      <c r="H10" s="8">
        <v>38416</v>
      </c>
      <c r="I10" s="8">
        <v>43529</v>
      </c>
      <c r="J10" s="8">
        <v>50515</v>
      </c>
      <c r="K10" s="8">
        <v>51892</v>
      </c>
      <c r="L10" s="8">
        <v>54811</v>
      </c>
      <c r="M10" s="8">
        <v>47861</v>
      </c>
      <c r="N10" s="43">
        <v>485084</v>
      </c>
      <c r="O10" s="43">
        <v>451779</v>
      </c>
      <c r="P10" s="43">
        <v>489839</v>
      </c>
      <c r="Q10" s="130">
        <v>438584</v>
      </c>
      <c r="R10" s="25">
        <v>477380</v>
      </c>
      <c r="S10" s="43">
        <v>44804</v>
      </c>
      <c r="T10" s="43">
        <v>464399</v>
      </c>
      <c r="U10" s="43">
        <v>458703</v>
      </c>
      <c r="V10" s="25">
        <v>452488</v>
      </c>
      <c r="W10" s="70">
        <v>566713</v>
      </c>
      <c r="X10" s="70">
        <v>573925</v>
      </c>
      <c r="Y10" s="75">
        <v>577139</v>
      </c>
      <c r="Z10" s="22">
        <v>543275</v>
      </c>
      <c r="AA10" s="75">
        <v>671844</v>
      </c>
      <c r="AB10" s="75">
        <v>607914</v>
      </c>
      <c r="AC10" s="75">
        <v>652505</v>
      </c>
      <c r="AD10" s="25">
        <v>50000</v>
      </c>
      <c r="AE10" s="25">
        <v>781224</v>
      </c>
      <c r="AF10" s="25">
        <v>838497</v>
      </c>
      <c r="AG10" s="25">
        <v>895770</v>
      </c>
    </row>
    <row r="11" spans="1:33" ht="15.75" thickBot="1" x14ac:dyDescent="0.3">
      <c r="A11" s="8" t="s">
        <v>7</v>
      </c>
      <c r="B11" s="8">
        <v>2144281</v>
      </c>
      <c r="C11" s="8">
        <v>2191638</v>
      </c>
      <c r="D11" s="8">
        <v>2238640</v>
      </c>
      <c r="E11" s="8">
        <v>2126485</v>
      </c>
      <c r="F11" s="8">
        <v>2110486</v>
      </c>
      <c r="G11" s="8">
        <v>2038646</v>
      </c>
      <c r="H11" s="8">
        <v>1952623</v>
      </c>
      <c r="I11" s="8">
        <v>2137965</v>
      </c>
      <c r="J11" s="8">
        <v>2113606</v>
      </c>
      <c r="K11" s="8">
        <v>2334094</v>
      </c>
      <c r="L11" s="8">
        <v>2392077</v>
      </c>
      <c r="M11" s="8">
        <v>2231945</v>
      </c>
      <c r="N11" s="43">
        <v>1765538</v>
      </c>
      <c r="O11" s="43">
        <v>1775499</v>
      </c>
      <c r="P11" s="43">
        <v>1879822</v>
      </c>
      <c r="Q11" s="130">
        <v>1799410</v>
      </c>
      <c r="R11" s="25">
        <v>1753862</v>
      </c>
      <c r="S11" s="43">
        <v>1825548</v>
      </c>
      <c r="T11" s="43">
        <v>1818637</v>
      </c>
      <c r="U11" s="43">
        <v>1729462</v>
      </c>
      <c r="V11" s="25">
        <v>1689900</v>
      </c>
      <c r="W11" s="70">
        <v>1656523</v>
      </c>
      <c r="X11" s="70">
        <v>1567201</v>
      </c>
      <c r="Y11" s="75">
        <v>1564825</v>
      </c>
      <c r="Z11" s="22">
        <v>1492956</v>
      </c>
      <c r="AA11" s="75">
        <v>1644007</v>
      </c>
      <c r="AB11" s="75">
        <v>1687513</v>
      </c>
      <c r="AC11" s="75">
        <v>1736118</v>
      </c>
      <c r="AD11" s="25">
        <v>1618223</v>
      </c>
      <c r="AE11" s="25">
        <v>1643098</v>
      </c>
      <c r="AF11" s="25">
        <v>1686570</v>
      </c>
      <c r="AG11" s="25">
        <v>1730865</v>
      </c>
    </row>
    <row r="12" spans="1:33" ht="15.75" thickBot="1" x14ac:dyDescent="0.3">
      <c r="A12" s="8" t="s">
        <v>8</v>
      </c>
      <c r="B12" s="8">
        <v>422018</v>
      </c>
      <c r="C12" s="8">
        <v>451947</v>
      </c>
      <c r="D12" s="8">
        <v>412297</v>
      </c>
      <c r="E12" s="8">
        <v>403895</v>
      </c>
      <c r="F12" s="8">
        <v>411274</v>
      </c>
      <c r="G12" s="8">
        <v>389755</v>
      </c>
      <c r="H12" s="8">
        <v>346502</v>
      </c>
      <c r="I12" s="8">
        <v>441307</v>
      </c>
      <c r="J12" s="8">
        <v>490684</v>
      </c>
      <c r="K12" s="8">
        <v>486633</v>
      </c>
      <c r="L12" s="8">
        <v>579710</v>
      </c>
      <c r="M12" s="8">
        <v>638641</v>
      </c>
      <c r="N12" s="43">
        <v>1500473</v>
      </c>
      <c r="O12" s="43">
        <v>1407833</v>
      </c>
      <c r="P12" s="43">
        <v>1382306</v>
      </c>
      <c r="Q12" s="130">
        <v>1394939</v>
      </c>
      <c r="R12" s="25">
        <v>1474631</v>
      </c>
      <c r="S12" s="43">
        <v>528435</v>
      </c>
      <c r="T12" s="43">
        <v>537810</v>
      </c>
      <c r="U12" s="43">
        <v>540522</v>
      </c>
      <c r="V12" s="25">
        <v>531639</v>
      </c>
      <c r="W12" s="70">
        <v>542678</v>
      </c>
      <c r="X12" s="70">
        <v>533892</v>
      </c>
      <c r="Y12" s="75">
        <v>580379</v>
      </c>
      <c r="Z12" s="22">
        <v>585741</v>
      </c>
      <c r="AA12" s="75">
        <v>664896</v>
      </c>
      <c r="AB12" s="75">
        <v>677021</v>
      </c>
      <c r="AC12" s="75">
        <v>717389</v>
      </c>
      <c r="AD12" s="25">
        <v>625153</v>
      </c>
      <c r="AE12" s="25">
        <v>649157</v>
      </c>
      <c r="AF12" s="25">
        <v>629087</v>
      </c>
      <c r="AG12" s="25">
        <v>661989</v>
      </c>
    </row>
    <row r="13" spans="1:33" ht="15.75" thickBot="1" x14ac:dyDescent="0.3">
      <c r="A13" s="8" t="s">
        <v>9</v>
      </c>
      <c r="B13" s="8">
        <v>1296305</v>
      </c>
      <c r="C13" s="8">
        <v>1442904</v>
      </c>
      <c r="D13" s="8">
        <v>1375934</v>
      </c>
      <c r="E13" s="8">
        <v>1437072</v>
      </c>
      <c r="F13" s="8">
        <v>1165390</v>
      </c>
      <c r="G13" s="8">
        <v>1103654</v>
      </c>
      <c r="H13" s="8">
        <v>1091918</v>
      </c>
      <c r="I13" s="8">
        <v>1344104</v>
      </c>
      <c r="J13" s="8">
        <v>1492645</v>
      </c>
      <c r="K13" s="8">
        <v>1873939</v>
      </c>
      <c r="L13" s="8">
        <v>2078271</v>
      </c>
      <c r="M13" s="8">
        <v>2064016</v>
      </c>
      <c r="N13" s="43">
        <v>556073</v>
      </c>
      <c r="O13" s="43">
        <v>628002</v>
      </c>
      <c r="P13" s="43">
        <v>635881</v>
      </c>
      <c r="Q13" s="130">
        <v>336876</v>
      </c>
      <c r="R13" s="25">
        <v>275112</v>
      </c>
      <c r="S13" s="43">
        <v>255284</v>
      </c>
      <c r="T13" s="43">
        <v>264790</v>
      </c>
      <c r="U13" s="43">
        <v>257313</v>
      </c>
      <c r="V13" s="25">
        <v>252128</v>
      </c>
      <c r="W13" s="70">
        <v>246797</v>
      </c>
      <c r="X13" s="70">
        <v>289914</v>
      </c>
      <c r="Y13" s="75">
        <v>228248</v>
      </c>
      <c r="Z13" s="22">
        <v>212977</v>
      </c>
      <c r="AA13" s="75">
        <v>266458</v>
      </c>
      <c r="AB13" s="75">
        <v>298593</v>
      </c>
      <c r="AC13" s="75">
        <v>354502</v>
      </c>
      <c r="AD13" s="25">
        <v>355826</v>
      </c>
      <c r="AE13" s="25">
        <v>396272</v>
      </c>
      <c r="AF13" s="25">
        <v>456505</v>
      </c>
      <c r="AG13" s="25">
        <v>516739</v>
      </c>
    </row>
    <row r="14" spans="1:33" ht="15.75" thickBot="1" x14ac:dyDescent="0.3">
      <c r="A14" s="8" t="s">
        <v>10</v>
      </c>
      <c r="B14" s="8">
        <v>4864</v>
      </c>
      <c r="C14" s="8">
        <v>5112</v>
      </c>
      <c r="D14" s="8">
        <v>4327</v>
      </c>
      <c r="E14" s="8">
        <v>4461</v>
      </c>
      <c r="F14" s="8">
        <v>4573</v>
      </c>
      <c r="G14" s="8">
        <v>4902</v>
      </c>
      <c r="H14" s="8">
        <v>5008</v>
      </c>
      <c r="I14" s="8">
        <v>4772</v>
      </c>
      <c r="J14" s="8">
        <v>4593</v>
      </c>
      <c r="K14" s="8">
        <v>4860</v>
      </c>
      <c r="L14" s="8">
        <v>5427</v>
      </c>
      <c r="M14" s="8">
        <v>5572</v>
      </c>
      <c r="N14" s="43">
        <v>5893</v>
      </c>
      <c r="O14" s="43">
        <v>4431</v>
      </c>
      <c r="P14" s="43">
        <v>4395</v>
      </c>
      <c r="Q14" s="130">
        <v>5350</v>
      </c>
      <c r="R14" s="25">
        <v>4756</v>
      </c>
      <c r="S14" s="43">
        <v>5334</v>
      </c>
      <c r="T14" s="43">
        <v>5212</v>
      </c>
      <c r="U14" s="43">
        <v>5502</v>
      </c>
      <c r="V14" s="25">
        <v>5894</v>
      </c>
      <c r="W14" s="70">
        <v>6936</v>
      </c>
      <c r="X14" s="70">
        <v>7725</v>
      </c>
      <c r="Y14" s="75">
        <v>7505</v>
      </c>
      <c r="Z14" s="22">
        <v>7495</v>
      </c>
      <c r="AA14" s="75">
        <v>7245</v>
      </c>
      <c r="AB14" s="75">
        <v>7117</v>
      </c>
      <c r="AC14" s="75">
        <v>7478</v>
      </c>
      <c r="AD14" s="25">
        <v>7173</v>
      </c>
      <c r="AE14" s="25">
        <v>7756</v>
      </c>
      <c r="AF14" s="25">
        <v>8174</v>
      </c>
      <c r="AG14" s="25">
        <v>8439</v>
      </c>
    </row>
    <row r="15" spans="1:33" ht="15.75" thickBot="1" x14ac:dyDescent="0.3">
      <c r="A15" s="8" t="s">
        <v>11</v>
      </c>
      <c r="B15" s="8">
        <v>784022</v>
      </c>
      <c r="C15" s="8">
        <v>790021</v>
      </c>
      <c r="D15" s="8">
        <v>793719</v>
      </c>
      <c r="E15" s="8">
        <v>782366</v>
      </c>
      <c r="F15" s="8">
        <v>774653</v>
      </c>
      <c r="G15" s="8">
        <v>647273</v>
      </c>
      <c r="H15" s="8">
        <v>807066</v>
      </c>
      <c r="I15" s="8">
        <v>793861</v>
      </c>
      <c r="J15" s="8">
        <v>620960</v>
      </c>
      <c r="K15" s="8">
        <v>460155</v>
      </c>
      <c r="L15" s="8">
        <v>313806</v>
      </c>
      <c r="M15" s="8">
        <v>167929</v>
      </c>
      <c r="N15" s="44">
        <v>71483</v>
      </c>
      <c r="O15" s="43">
        <v>899582</v>
      </c>
      <c r="P15" s="44">
        <v>85723</v>
      </c>
      <c r="Q15" s="130">
        <v>87595</v>
      </c>
      <c r="R15" s="44">
        <v>89530</v>
      </c>
      <c r="S15" s="44">
        <v>928746</v>
      </c>
      <c r="T15" s="44">
        <v>900864</v>
      </c>
      <c r="U15" s="43">
        <v>931627</v>
      </c>
      <c r="V15" s="25">
        <v>900239</v>
      </c>
      <c r="W15" s="70">
        <v>867047</v>
      </c>
      <c r="X15" s="70">
        <v>8334105</v>
      </c>
      <c r="Y15" s="75">
        <v>756197</v>
      </c>
      <c r="Z15" s="22">
        <v>686743</v>
      </c>
      <c r="AA15" s="75">
        <v>699301</v>
      </c>
      <c r="AB15" s="75">
        <v>711897</v>
      </c>
      <c r="AC15" s="75">
        <v>664226</v>
      </c>
      <c r="AD15" s="25">
        <v>630071</v>
      </c>
      <c r="AE15" s="25">
        <v>589913</v>
      </c>
      <c r="AF15" s="25">
        <v>592804</v>
      </c>
      <c r="AG15" s="25">
        <v>543698</v>
      </c>
    </row>
    <row r="16" spans="1:33" ht="15.75" thickBot="1" x14ac:dyDescent="0.3">
      <c r="A16" s="8" t="s">
        <v>12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43">
        <v>0</v>
      </c>
      <c r="O16" s="43">
        <v>0</v>
      </c>
      <c r="P16" s="43">
        <v>0</v>
      </c>
      <c r="Q16" s="130">
        <v>0</v>
      </c>
      <c r="R16" s="44">
        <v>0</v>
      </c>
      <c r="S16" s="43">
        <v>0</v>
      </c>
      <c r="T16" s="43">
        <v>0</v>
      </c>
      <c r="U16" s="43">
        <v>0</v>
      </c>
      <c r="V16" s="44">
        <v>0</v>
      </c>
      <c r="W16" s="70">
        <v>0</v>
      </c>
      <c r="X16" s="70">
        <v>0</v>
      </c>
      <c r="Y16" s="70">
        <v>0</v>
      </c>
      <c r="Z16" s="74">
        <v>0</v>
      </c>
      <c r="AA16" s="70">
        <v>0</v>
      </c>
      <c r="AB16" s="70">
        <v>0</v>
      </c>
      <c r="AC16" s="70">
        <v>0</v>
      </c>
      <c r="AD16" s="44">
        <v>0</v>
      </c>
      <c r="AE16" s="44">
        <v>0</v>
      </c>
      <c r="AF16" s="44">
        <v>0</v>
      </c>
      <c r="AG16" s="44">
        <v>0</v>
      </c>
    </row>
    <row r="17" spans="1:33" ht="15.75" thickBot="1" x14ac:dyDescent="0.3">
      <c r="A17" s="8" t="s">
        <v>13</v>
      </c>
      <c r="B17" s="8">
        <v>2144281</v>
      </c>
      <c r="C17" s="8">
        <v>2191638</v>
      </c>
      <c r="D17" s="8">
        <v>2238640</v>
      </c>
      <c r="E17" s="8">
        <v>2126485</v>
      </c>
      <c r="F17" s="8">
        <v>2110486</v>
      </c>
      <c r="G17" s="8">
        <v>2038646</v>
      </c>
      <c r="H17" s="8">
        <v>1952623</v>
      </c>
      <c r="I17" s="8">
        <v>2137965</v>
      </c>
      <c r="J17" s="8">
        <v>2113606</v>
      </c>
      <c r="K17" s="8">
        <v>2334094</v>
      </c>
      <c r="L17" s="8">
        <v>2392077</v>
      </c>
      <c r="M17" s="8">
        <v>2231945</v>
      </c>
      <c r="N17" s="44">
        <v>1207433</v>
      </c>
      <c r="O17" s="43">
        <v>1744651</v>
      </c>
      <c r="P17" s="44">
        <v>1446215</v>
      </c>
      <c r="Q17" s="131">
        <v>1799410</v>
      </c>
      <c r="R17" s="25">
        <v>1753862</v>
      </c>
      <c r="S17" s="43">
        <v>1529640</v>
      </c>
      <c r="T17" s="44">
        <v>1677833</v>
      </c>
      <c r="U17" s="43">
        <v>1729462</v>
      </c>
      <c r="V17" s="25">
        <v>1689900</v>
      </c>
      <c r="W17" s="70">
        <v>1658523</v>
      </c>
      <c r="X17" s="70">
        <v>1699602</v>
      </c>
      <c r="Y17" s="70">
        <v>1564824</v>
      </c>
      <c r="Z17" s="22">
        <v>1492956</v>
      </c>
      <c r="AA17" s="70">
        <v>1644523</v>
      </c>
      <c r="AB17" s="70">
        <v>1687514</v>
      </c>
      <c r="AC17" s="70">
        <v>1736118</v>
      </c>
      <c r="AD17" s="25">
        <v>1618223</v>
      </c>
      <c r="AE17" s="25">
        <v>1643098</v>
      </c>
      <c r="AF17" s="25">
        <v>1686570</v>
      </c>
      <c r="AG17" s="25">
        <v>1730865</v>
      </c>
    </row>
    <row r="18" spans="1:33" x14ac:dyDescent="0.25">
      <c r="A18" s="8" t="s">
        <v>34</v>
      </c>
      <c r="B18" s="8">
        <v>22.4</v>
      </c>
      <c r="C18" s="8">
        <v>23.1</v>
      </c>
      <c r="D18" s="8">
        <v>24.6</v>
      </c>
      <c r="E18" s="8">
        <v>22.9</v>
      </c>
      <c r="F18" s="6">
        <v>22.65</v>
      </c>
      <c r="G18" s="6">
        <v>27.7</v>
      </c>
      <c r="H18" s="6">
        <v>28.7</v>
      </c>
      <c r="I18" s="6">
        <v>25.8</v>
      </c>
      <c r="J18" s="6">
        <v>27.7</v>
      </c>
      <c r="K18" s="6">
        <v>23.8</v>
      </c>
      <c r="L18" s="6">
        <v>24.15</v>
      </c>
      <c r="M18" s="6">
        <v>24.35</v>
      </c>
      <c r="N18" s="76">
        <v>21.32</v>
      </c>
      <c r="O18" s="76" t="s">
        <v>54</v>
      </c>
      <c r="P18" s="76">
        <v>21.11</v>
      </c>
      <c r="Q18" s="131">
        <v>21.23</v>
      </c>
      <c r="R18" s="76">
        <v>21.75</v>
      </c>
      <c r="S18" s="76">
        <v>14.1</v>
      </c>
      <c r="T18" s="76">
        <v>13.45</v>
      </c>
      <c r="U18" s="76">
        <v>12.8</v>
      </c>
      <c r="V18" s="76">
        <v>12.45</v>
      </c>
      <c r="W18" s="75">
        <v>15.7</v>
      </c>
      <c r="X18" s="75">
        <v>14.2</v>
      </c>
      <c r="Y18" s="75">
        <v>14.4</v>
      </c>
      <c r="Z18" s="75">
        <v>17.05</v>
      </c>
      <c r="AA18" s="75">
        <v>12.94</v>
      </c>
      <c r="AB18" s="75">
        <v>11.22</v>
      </c>
      <c r="AC18" s="75">
        <v>6.74</v>
      </c>
      <c r="AD18" s="76">
        <v>6.41</v>
      </c>
      <c r="AE18" s="76">
        <v>6.59</v>
      </c>
      <c r="AF18" s="76">
        <v>5.24</v>
      </c>
      <c r="AG18" s="76">
        <v>5.45</v>
      </c>
    </row>
    <row r="19" spans="1:33" s="82" customFormat="1" ht="12" x14ac:dyDescent="0.2">
      <c r="A19" s="82" t="s">
        <v>135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27"/>
      <c r="O19" s="127"/>
      <c r="P19" s="127">
        <f>-1.36</f>
        <v>-1.36</v>
      </c>
      <c r="Q19" s="132">
        <f>-1.18</f>
        <v>-1.18</v>
      </c>
      <c r="R19" s="127">
        <f>-0.74</f>
        <v>-0.74</v>
      </c>
      <c r="S19" s="127">
        <f>-0.44</f>
        <v>-0.44</v>
      </c>
      <c r="T19" s="127">
        <f>-0.5</f>
        <v>-0.5</v>
      </c>
      <c r="U19" s="127">
        <f>-0.54</f>
        <v>-0.54</v>
      </c>
      <c r="V19" s="127">
        <f>-0.29</f>
        <v>-0.28999999999999998</v>
      </c>
      <c r="W19" s="127">
        <f>-0.44</f>
        <v>-0.44</v>
      </c>
      <c r="X19" s="127">
        <f>-0.27</f>
        <v>-0.27</v>
      </c>
      <c r="Y19" s="127">
        <f>-0.42</f>
        <v>-0.42</v>
      </c>
      <c r="Z19" s="82">
        <f>-0.45</f>
        <v>-0.45</v>
      </c>
      <c r="AA19" s="127">
        <v>0.38</v>
      </c>
      <c r="AB19" s="127">
        <f>-0.22</f>
        <v>-0.22</v>
      </c>
      <c r="AC19" s="127">
        <f>-0.3</f>
        <v>-0.3</v>
      </c>
      <c r="AD19" s="127">
        <f>-0.22</f>
        <v>-0.22</v>
      </c>
      <c r="AE19" s="127">
        <f>-0.25</f>
        <v>-0.25</v>
      </c>
      <c r="AF19" s="127">
        <v>0.02</v>
      </c>
      <c r="AG19" s="127">
        <f>-0.31</f>
        <v>-0.31</v>
      </c>
    </row>
    <row r="20" spans="1:33" x14ac:dyDescent="0.25">
      <c r="A20" s="10" t="s">
        <v>35</v>
      </c>
      <c r="B20" s="1" t="s">
        <v>61</v>
      </c>
      <c r="C20" s="1" t="s">
        <v>62</v>
      </c>
      <c r="D20" s="1" t="s">
        <v>70</v>
      </c>
      <c r="E20" s="1" t="s">
        <v>63</v>
      </c>
      <c r="F20" s="29" t="s">
        <v>64</v>
      </c>
      <c r="G20" s="29" t="s">
        <v>65</v>
      </c>
      <c r="H20" s="29" t="s">
        <v>66</v>
      </c>
      <c r="I20" s="29" t="s">
        <v>67</v>
      </c>
      <c r="J20" s="1" t="s">
        <v>68</v>
      </c>
      <c r="K20" s="1" t="s">
        <v>69</v>
      </c>
      <c r="L20" s="1" t="s">
        <v>71</v>
      </c>
      <c r="M20" s="1" t="s">
        <v>72</v>
      </c>
      <c r="N20" s="1" t="s">
        <v>14</v>
      </c>
      <c r="O20" s="1" t="s">
        <v>15</v>
      </c>
      <c r="P20" s="1" t="s">
        <v>16</v>
      </c>
      <c r="Q20" s="129" t="s">
        <v>17</v>
      </c>
      <c r="R20" s="4" t="s">
        <v>18</v>
      </c>
      <c r="S20" s="4" t="s">
        <v>19</v>
      </c>
      <c r="T20" s="4" t="s">
        <v>20</v>
      </c>
      <c r="U20" s="4" t="s">
        <v>21</v>
      </c>
      <c r="V20" s="5" t="s">
        <v>22</v>
      </c>
      <c r="W20" s="5" t="s">
        <v>23</v>
      </c>
      <c r="X20" s="5" t="s">
        <v>24</v>
      </c>
      <c r="Y20" s="5" t="s">
        <v>25</v>
      </c>
      <c r="Z20" s="1" t="s">
        <v>26</v>
      </c>
      <c r="AA20" s="1" t="s">
        <v>27</v>
      </c>
      <c r="AB20" s="1" t="s">
        <v>28</v>
      </c>
      <c r="AC20" s="1" t="s">
        <v>29</v>
      </c>
      <c r="AD20" s="4" t="s">
        <v>30</v>
      </c>
      <c r="AE20" s="4" t="s">
        <v>31</v>
      </c>
      <c r="AF20" s="4" t="s">
        <v>32</v>
      </c>
      <c r="AG20" s="4" t="s">
        <v>33</v>
      </c>
    </row>
    <row r="21" spans="1:33" ht="15.75" thickBot="1" x14ac:dyDescent="0.3">
      <c r="A21" s="8" t="s">
        <v>36</v>
      </c>
      <c r="B21" s="8">
        <v>46107</v>
      </c>
      <c r="C21" s="8">
        <v>45882</v>
      </c>
      <c r="D21" s="8">
        <v>46298</v>
      </c>
      <c r="E21" s="8">
        <v>51174</v>
      </c>
      <c r="F21" s="8">
        <v>45292</v>
      </c>
      <c r="G21" s="8">
        <v>49295</v>
      </c>
      <c r="H21" s="8">
        <v>50117</v>
      </c>
      <c r="I21" s="8">
        <v>41984</v>
      </c>
      <c r="J21" s="8">
        <v>44274</v>
      </c>
      <c r="K21" s="8">
        <v>42234</v>
      </c>
      <c r="L21" s="8">
        <v>46809</v>
      </c>
      <c r="M21" s="8">
        <v>48148</v>
      </c>
      <c r="N21" s="43">
        <v>60268</v>
      </c>
      <c r="O21" s="43">
        <v>59820</v>
      </c>
      <c r="P21" s="43">
        <v>58392</v>
      </c>
      <c r="Q21" s="130">
        <v>61319</v>
      </c>
      <c r="R21" s="25">
        <v>66901</v>
      </c>
      <c r="S21" s="28">
        <v>77284</v>
      </c>
      <c r="T21" s="28">
        <v>87838</v>
      </c>
      <c r="U21" s="28">
        <v>69645</v>
      </c>
      <c r="V21" s="27">
        <v>60423</v>
      </c>
      <c r="W21" s="28">
        <v>58093</v>
      </c>
      <c r="X21" s="28">
        <v>54987</v>
      </c>
      <c r="Y21" s="28">
        <v>63755</v>
      </c>
      <c r="Z21" s="27">
        <v>57704</v>
      </c>
      <c r="AA21" s="28">
        <v>61985</v>
      </c>
      <c r="AB21" s="28">
        <v>51210</v>
      </c>
      <c r="AC21" s="28">
        <v>60477</v>
      </c>
      <c r="AD21" s="27">
        <v>73429</v>
      </c>
      <c r="AE21" s="27">
        <v>83326</v>
      </c>
      <c r="AF21" s="27">
        <v>76052</v>
      </c>
      <c r="AG21" s="27">
        <v>86753</v>
      </c>
    </row>
    <row r="22" spans="1:33" ht="15.75" thickBot="1" x14ac:dyDescent="0.3">
      <c r="A22" s="8" t="s">
        <v>37</v>
      </c>
      <c r="B22" s="8">
        <v>79771</v>
      </c>
      <c r="C22" s="8">
        <v>82315</v>
      </c>
      <c r="D22" s="8">
        <v>81232</v>
      </c>
      <c r="E22" s="8">
        <v>83458</v>
      </c>
      <c r="F22" s="8">
        <v>76785</v>
      </c>
      <c r="G22" s="8">
        <v>79330</v>
      </c>
      <c r="H22" s="8">
        <v>82227</v>
      </c>
      <c r="I22" s="8">
        <v>83019</v>
      </c>
      <c r="J22" s="8">
        <v>81687</v>
      </c>
      <c r="K22" s="8">
        <v>80861</v>
      </c>
      <c r="L22" s="8">
        <v>82094</v>
      </c>
      <c r="M22" s="8">
        <v>81243</v>
      </c>
      <c r="N22" s="43">
        <v>59946</v>
      </c>
      <c r="O22" s="43">
        <v>49629</v>
      </c>
      <c r="P22" s="43">
        <v>54770</v>
      </c>
      <c r="Q22" s="130">
        <v>48726</v>
      </c>
      <c r="R22" s="25">
        <v>50676</v>
      </c>
      <c r="S22" s="28">
        <v>55131</v>
      </c>
      <c r="T22" s="28">
        <v>55128</v>
      </c>
      <c r="U22" s="28">
        <v>56955</v>
      </c>
      <c r="V22" s="27">
        <v>48747</v>
      </c>
      <c r="W22" s="28">
        <v>48137</v>
      </c>
      <c r="X22" s="28">
        <v>44521</v>
      </c>
      <c r="Y22" s="28">
        <v>55866</v>
      </c>
      <c r="Z22" s="27">
        <v>53810</v>
      </c>
      <c r="AA22" s="28">
        <v>55828</v>
      </c>
      <c r="AB22" s="28">
        <v>45972</v>
      </c>
      <c r="AC22" s="28">
        <v>51683</v>
      </c>
      <c r="AD22" s="27">
        <v>63673</v>
      </c>
      <c r="AE22" s="27">
        <v>73883</v>
      </c>
      <c r="AF22" s="27">
        <v>67150</v>
      </c>
      <c r="AG22" s="27">
        <v>82528</v>
      </c>
    </row>
    <row r="23" spans="1:33" ht="15.75" thickBot="1" x14ac:dyDescent="0.3">
      <c r="A23" s="8" t="s">
        <v>38</v>
      </c>
      <c r="B23" s="8">
        <v>-33664</v>
      </c>
      <c r="C23" s="8">
        <v>-36433</v>
      </c>
      <c r="D23" s="8">
        <v>-34934</v>
      </c>
      <c r="E23" s="8">
        <v>-32284</v>
      </c>
      <c r="F23" s="8">
        <v>-31493</v>
      </c>
      <c r="G23" s="8">
        <v>-30035</v>
      </c>
      <c r="H23" s="8">
        <v>-32110</v>
      </c>
      <c r="I23" s="8">
        <v>-41035</v>
      </c>
      <c r="J23" s="8">
        <v>-37413</v>
      </c>
      <c r="K23" s="8">
        <v>-38627</v>
      </c>
      <c r="L23" s="8">
        <v>-35285</v>
      </c>
      <c r="M23" s="8">
        <v>-33095</v>
      </c>
      <c r="N23" s="43">
        <v>3221</v>
      </c>
      <c r="O23" s="43">
        <v>3561</v>
      </c>
      <c r="P23" s="43">
        <v>3622</v>
      </c>
      <c r="Q23" s="130">
        <v>12593</v>
      </c>
      <c r="R23" s="25">
        <v>36225</v>
      </c>
      <c r="S23" s="28">
        <v>12993</v>
      </c>
      <c r="T23" s="28">
        <v>12710</v>
      </c>
      <c r="U23" s="28">
        <v>12680</v>
      </c>
      <c r="V23" s="27">
        <v>11678</v>
      </c>
      <c r="W23" s="28">
        <v>9956</v>
      </c>
      <c r="X23" s="28">
        <v>10467</v>
      </c>
      <c r="Y23" s="28">
        <v>7888</v>
      </c>
      <c r="Z23" s="27">
        <v>3893</v>
      </c>
      <c r="AA23" s="28">
        <v>8156</v>
      </c>
      <c r="AB23" s="28">
        <v>4237</v>
      </c>
      <c r="AC23" s="28">
        <v>8794</v>
      </c>
      <c r="AD23" s="27">
        <v>9756</v>
      </c>
      <c r="AE23" s="27">
        <v>9443</v>
      </c>
      <c r="AF23" s="27">
        <v>8902</v>
      </c>
      <c r="AG23" s="27">
        <v>4225</v>
      </c>
    </row>
    <row r="24" spans="1:33" ht="15.75" thickBot="1" x14ac:dyDescent="0.3">
      <c r="A24" s="8" t="s">
        <v>39</v>
      </c>
      <c r="B24" s="8">
        <v>2274</v>
      </c>
      <c r="C24" s="8">
        <v>2735</v>
      </c>
      <c r="D24" s="8">
        <v>1846</v>
      </c>
      <c r="E24" s="8">
        <v>9734</v>
      </c>
      <c r="F24" s="8">
        <v>38573</v>
      </c>
      <c r="G24" s="8">
        <v>5011</v>
      </c>
      <c r="H24" s="8">
        <v>1935</v>
      </c>
      <c r="I24" s="8">
        <v>985</v>
      </c>
      <c r="J24" s="8">
        <v>1878</v>
      </c>
      <c r="K24" s="8">
        <v>4723</v>
      </c>
      <c r="L24" s="8">
        <v>7923</v>
      </c>
      <c r="M24" s="8">
        <v>8264</v>
      </c>
      <c r="N24" s="43">
        <v>9317</v>
      </c>
      <c r="O24" s="43">
        <v>7014</v>
      </c>
      <c r="P24" s="43">
        <v>7665</v>
      </c>
      <c r="Q24" s="130">
        <v>7858</v>
      </c>
      <c r="R24" s="25">
        <v>7934</v>
      </c>
      <c r="S24" s="28">
        <v>1043</v>
      </c>
      <c r="T24" s="28">
        <v>1376</v>
      </c>
      <c r="U24" s="28">
        <v>130</v>
      </c>
      <c r="V24" s="27">
        <v>725</v>
      </c>
      <c r="W24" s="28">
        <v>754</v>
      </c>
      <c r="X24" s="28">
        <v>196</v>
      </c>
      <c r="Y24" s="28">
        <v>1436</v>
      </c>
      <c r="Z24" s="27">
        <v>6080</v>
      </c>
      <c r="AA24" s="28">
        <v>132007</v>
      </c>
      <c r="AB24" s="28">
        <v>44666</v>
      </c>
      <c r="AC24" s="28">
        <v>33935</v>
      </c>
      <c r="AD24" s="27">
        <v>31562</v>
      </c>
      <c r="AE24" s="27">
        <v>33124</v>
      </c>
      <c r="AF24" s="27">
        <v>76258</v>
      </c>
      <c r="AG24" s="27">
        <v>27294</v>
      </c>
    </row>
    <row r="25" spans="1:33" ht="15.75" thickBot="1" x14ac:dyDescent="0.3">
      <c r="A25" s="8" t="s">
        <v>40</v>
      </c>
      <c r="B25" s="8">
        <v>69835</v>
      </c>
      <c r="C25" s="8">
        <v>71183</v>
      </c>
      <c r="D25" s="8">
        <v>67402</v>
      </c>
      <c r="E25" s="8">
        <v>73285</v>
      </c>
      <c r="F25" s="8">
        <v>69931</v>
      </c>
      <c r="G25" s="8">
        <v>68205</v>
      </c>
      <c r="H25" s="8">
        <v>70039</v>
      </c>
      <c r="I25" s="8">
        <v>69731</v>
      </c>
      <c r="J25" s="8">
        <v>71935</v>
      </c>
      <c r="K25" s="8">
        <v>69836</v>
      </c>
      <c r="L25" s="8">
        <v>73294</v>
      </c>
      <c r="M25" s="8">
        <v>74619</v>
      </c>
      <c r="N25" s="43">
        <v>79528</v>
      </c>
      <c r="O25" s="43">
        <v>73925</v>
      </c>
      <c r="P25" s="43">
        <v>64386</v>
      </c>
      <c r="Q25" s="130">
        <v>61319</v>
      </c>
      <c r="R25" s="25">
        <v>77159</v>
      </c>
      <c r="S25" s="28">
        <v>69934</v>
      </c>
      <c r="T25" s="28">
        <v>70463</v>
      </c>
      <c r="U25" s="28">
        <v>69775</v>
      </c>
      <c r="V25" s="27">
        <v>61148</v>
      </c>
      <c r="W25" s="28">
        <v>683539</v>
      </c>
      <c r="X25" s="28">
        <v>68114</v>
      </c>
      <c r="Y25" s="28">
        <v>68794</v>
      </c>
      <c r="Z25" s="27">
        <v>63784</v>
      </c>
      <c r="AA25" s="28">
        <v>140163</v>
      </c>
      <c r="AB25" s="28">
        <v>48903</v>
      </c>
      <c r="AC25" s="28">
        <v>42729</v>
      </c>
      <c r="AD25" s="27">
        <v>41318</v>
      </c>
      <c r="AE25" s="27">
        <v>42567</v>
      </c>
      <c r="AF25" s="27">
        <v>85160</v>
      </c>
      <c r="AG25" s="27">
        <v>31519</v>
      </c>
    </row>
    <row r="26" spans="1:33" ht="15.75" thickBot="1" x14ac:dyDescent="0.3">
      <c r="A26" s="8" t="s">
        <v>56</v>
      </c>
      <c r="B26" s="8">
        <v>12859</v>
      </c>
      <c r="C26" s="8">
        <v>12974</v>
      </c>
      <c r="D26" s="8">
        <v>13995</v>
      </c>
      <c r="E26" s="8">
        <v>13705</v>
      </c>
      <c r="F26" s="8">
        <v>11421</v>
      </c>
      <c r="G26" s="8">
        <v>14301</v>
      </c>
      <c r="H26" s="8">
        <v>15398</v>
      </c>
      <c r="I26" s="8">
        <v>14248</v>
      </c>
      <c r="J26" s="8">
        <v>24790</v>
      </c>
      <c r="K26" s="8">
        <v>11516</v>
      </c>
      <c r="L26" s="8">
        <v>8824</v>
      </c>
      <c r="M26" s="8">
        <v>11384</v>
      </c>
      <c r="N26" s="43">
        <v>10602</v>
      </c>
      <c r="O26" s="43">
        <v>11215</v>
      </c>
      <c r="P26" s="43">
        <v>19714</v>
      </c>
      <c r="Q26" s="130">
        <v>12316</v>
      </c>
      <c r="R26" s="25">
        <v>50492</v>
      </c>
      <c r="S26" s="28">
        <v>9462</v>
      </c>
      <c r="T26" s="28">
        <v>8943</v>
      </c>
      <c r="U26" s="28">
        <v>14184</v>
      </c>
      <c r="V26" s="27">
        <v>7642</v>
      </c>
      <c r="W26" s="28">
        <v>72734</v>
      </c>
      <c r="X26" s="28">
        <v>7795</v>
      </c>
      <c r="Y26" s="28">
        <v>6698</v>
      </c>
      <c r="Z26" s="27">
        <v>11584</v>
      </c>
      <c r="AA26" s="28">
        <v>16158</v>
      </c>
      <c r="AB26" s="28">
        <v>19485</v>
      </c>
      <c r="AC26" s="28">
        <v>27401</v>
      </c>
      <c r="AD26" s="27">
        <v>14896</v>
      </c>
      <c r="AE26" s="27">
        <v>20327</v>
      </c>
      <c r="AF26" s="27">
        <v>18406</v>
      </c>
      <c r="AG26" s="27">
        <v>17309</v>
      </c>
    </row>
    <row r="27" spans="1:33" ht="15.75" thickBot="1" x14ac:dyDescent="0.3">
      <c r="A27" s="8" t="s">
        <v>55</v>
      </c>
      <c r="B27" s="8">
        <v>11876</v>
      </c>
      <c r="C27" s="8">
        <v>11265</v>
      </c>
      <c r="D27" s="8">
        <v>12002</v>
      </c>
      <c r="E27" s="8">
        <v>11702</v>
      </c>
      <c r="F27" s="8">
        <v>12073</v>
      </c>
      <c r="G27" s="8">
        <v>11022</v>
      </c>
      <c r="H27" s="8">
        <v>9836</v>
      </c>
      <c r="I27" s="8">
        <v>11873</v>
      </c>
      <c r="J27" s="8">
        <v>10846</v>
      </c>
      <c r="K27" s="8">
        <v>9947</v>
      </c>
      <c r="L27" s="8">
        <v>11835</v>
      </c>
      <c r="M27" s="8">
        <v>18360</v>
      </c>
      <c r="N27" s="43">
        <v>23518</v>
      </c>
      <c r="O27" s="43">
        <v>11973</v>
      </c>
      <c r="P27" s="43">
        <v>6479</v>
      </c>
      <c r="Q27" s="130">
        <v>9244</v>
      </c>
      <c r="R27" s="25">
        <v>35068</v>
      </c>
      <c r="S27" s="28">
        <v>10986</v>
      </c>
      <c r="T27" s="28">
        <v>10524</v>
      </c>
      <c r="U27" s="28">
        <v>9816</v>
      </c>
      <c r="V27" s="27">
        <v>8350</v>
      </c>
      <c r="W27" s="28">
        <v>88995</v>
      </c>
      <c r="X27" s="28">
        <v>5715</v>
      </c>
      <c r="Y27" s="28">
        <v>4367</v>
      </c>
      <c r="Z27" s="27">
        <v>6044</v>
      </c>
      <c r="AA27" s="28">
        <v>9437</v>
      </c>
      <c r="AB27" s="28">
        <v>11856</v>
      </c>
      <c r="AC27" s="28">
        <v>12200</v>
      </c>
      <c r="AD27" s="27">
        <v>11681</v>
      </c>
      <c r="AE27" s="27">
        <v>14236</v>
      </c>
      <c r="AF27" s="27">
        <v>14861</v>
      </c>
      <c r="AG27" s="27">
        <v>14914</v>
      </c>
    </row>
    <row r="28" spans="1:33" ht="15.75" thickBot="1" x14ac:dyDescent="0.3">
      <c r="A28" s="8" t="s">
        <v>42</v>
      </c>
      <c r="B28" s="8">
        <v>53395</v>
      </c>
      <c r="C28" s="8">
        <v>53974</v>
      </c>
      <c r="D28" s="8">
        <v>53002</v>
      </c>
      <c r="E28" s="8">
        <v>52846</v>
      </c>
      <c r="F28" s="8">
        <v>52295</v>
      </c>
      <c r="G28" s="8">
        <v>53533</v>
      </c>
      <c r="H28" s="8">
        <v>54390</v>
      </c>
      <c r="I28" s="8">
        <v>55012</v>
      </c>
      <c r="J28" s="8">
        <v>54118</v>
      </c>
      <c r="K28" s="8">
        <v>53811</v>
      </c>
      <c r="L28" s="8">
        <v>54821</v>
      </c>
      <c r="M28" s="8">
        <v>54732</v>
      </c>
      <c r="N28" s="43">
        <v>56401</v>
      </c>
      <c r="O28" s="43">
        <v>55272</v>
      </c>
      <c r="P28" s="43">
        <v>56454</v>
      </c>
      <c r="Q28" s="130">
        <v>51709</v>
      </c>
      <c r="R28" s="25">
        <v>50262</v>
      </c>
      <c r="S28" s="28">
        <v>56280</v>
      </c>
      <c r="T28" s="28">
        <v>57152</v>
      </c>
      <c r="U28" s="28">
        <v>57870</v>
      </c>
      <c r="V28" s="27">
        <v>42442</v>
      </c>
      <c r="W28" s="28">
        <v>50042</v>
      </c>
      <c r="X28" s="28">
        <v>50383</v>
      </c>
      <c r="Y28" s="28">
        <v>50565</v>
      </c>
      <c r="Z28" s="27">
        <v>48607</v>
      </c>
      <c r="AA28" s="28">
        <v>50532</v>
      </c>
      <c r="AB28" s="28">
        <v>51324</v>
      </c>
      <c r="AC28" s="28">
        <v>49368</v>
      </c>
      <c r="AD28" s="27">
        <v>47166</v>
      </c>
      <c r="AE28" s="27">
        <v>46929</v>
      </c>
      <c r="AF28" s="27">
        <v>47147</v>
      </c>
      <c r="AG28" s="27">
        <v>46992</v>
      </c>
    </row>
    <row r="29" spans="1:33" ht="15.75" thickBot="1" x14ac:dyDescent="0.3">
      <c r="A29" s="8" t="s">
        <v>43</v>
      </c>
      <c r="B29" s="8">
        <v>6803</v>
      </c>
      <c r="C29" s="8">
        <v>6956</v>
      </c>
      <c r="D29" s="8">
        <v>6902</v>
      </c>
      <c r="E29" s="8">
        <v>6992</v>
      </c>
      <c r="F29" s="8">
        <v>7133</v>
      </c>
      <c r="G29" s="8">
        <v>6933</v>
      </c>
      <c r="H29" s="8">
        <v>7034</v>
      </c>
      <c r="I29" s="8">
        <v>6519</v>
      </c>
      <c r="J29" s="8">
        <v>6659</v>
      </c>
      <c r="K29" s="8">
        <v>6463</v>
      </c>
      <c r="L29" s="8">
        <v>9293</v>
      </c>
      <c r="M29" s="8">
        <v>90362</v>
      </c>
      <c r="N29" s="43">
        <v>9317</v>
      </c>
      <c r="O29" s="43">
        <v>8624</v>
      </c>
      <c r="P29" s="43">
        <v>7587</v>
      </c>
      <c r="Q29" s="130">
        <v>7851</v>
      </c>
      <c r="R29" s="25">
        <v>14802</v>
      </c>
      <c r="S29" s="28">
        <v>19974</v>
      </c>
      <c r="T29" s="28">
        <v>20945</v>
      </c>
      <c r="U29" s="28">
        <v>2072</v>
      </c>
      <c r="V29" s="27">
        <v>1965</v>
      </c>
      <c r="W29" s="28">
        <v>1874</v>
      </c>
      <c r="X29" s="28">
        <v>1854</v>
      </c>
      <c r="Y29" s="28">
        <v>1800</v>
      </c>
      <c r="Z29" s="27">
        <v>1677</v>
      </c>
      <c r="AA29" s="28">
        <v>1605</v>
      </c>
      <c r="AB29" s="28">
        <v>1512</v>
      </c>
      <c r="AC29" s="28">
        <v>1430</v>
      </c>
      <c r="AD29" s="27">
        <v>1302</v>
      </c>
      <c r="AE29" s="27">
        <v>1232</v>
      </c>
      <c r="AF29" s="27">
        <v>1173</v>
      </c>
      <c r="AG29" s="27">
        <v>1176</v>
      </c>
    </row>
    <row r="30" spans="1:33" ht="15.75" thickBot="1" x14ac:dyDescent="0.3">
      <c r="A30" s="8" t="s">
        <v>44</v>
      </c>
      <c r="B30" s="8">
        <v>87460</v>
      </c>
      <c r="C30" s="8">
        <v>85723</v>
      </c>
      <c r="D30" s="8">
        <v>88509</v>
      </c>
      <c r="E30" s="8">
        <v>87593</v>
      </c>
      <c r="F30" s="8">
        <v>90023</v>
      </c>
      <c r="G30" s="8">
        <v>88462</v>
      </c>
      <c r="H30" s="8">
        <v>89337</v>
      </c>
      <c r="I30" s="8">
        <v>93855</v>
      </c>
      <c r="J30" s="8">
        <v>90244</v>
      </c>
      <c r="K30" s="8">
        <v>87304</v>
      </c>
      <c r="L30" s="8">
        <v>85993</v>
      </c>
      <c r="M30" s="8">
        <v>85774</v>
      </c>
      <c r="N30" s="43">
        <v>89812</v>
      </c>
      <c r="O30" s="43">
        <v>87902</v>
      </c>
      <c r="P30" s="43">
        <v>81441</v>
      </c>
      <c r="Q30" s="130">
        <v>86638</v>
      </c>
      <c r="R30" s="25">
        <v>80625</v>
      </c>
      <c r="S30" s="28">
        <v>89584</v>
      </c>
      <c r="T30" s="28">
        <v>90899</v>
      </c>
      <c r="U30" s="28">
        <v>95147</v>
      </c>
      <c r="V30" s="27">
        <v>72066</v>
      </c>
      <c r="W30" s="28">
        <v>67850</v>
      </c>
      <c r="X30" s="28">
        <v>52059</v>
      </c>
      <c r="Y30" s="28">
        <v>75125</v>
      </c>
      <c r="Z30" s="27">
        <v>75983</v>
      </c>
      <c r="AA30" s="28">
        <v>76128</v>
      </c>
      <c r="AB30" s="28">
        <v>78429</v>
      </c>
      <c r="AC30" s="28">
        <v>88970</v>
      </c>
      <c r="AD30" s="27">
        <v>75045</v>
      </c>
      <c r="AE30" s="27">
        <v>82724</v>
      </c>
      <c r="AF30" s="27">
        <v>81587</v>
      </c>
      <c r="AG30" s="27">
        <v>80392</v>
      </c>
    </row>
    <row r="31" spans="1:33" ht="15.75" thickBot="1" x14ac:dyDescent="0.3">
      <c r="A31" s="8" t="s">
        <v>45</v>
      </c>
      <c r="B31" s="8">
        <v>-158939</v>
      </c>
      <c r="C31" s="8">
        <v>-161142</v>
      </c>
      <c r="D31" s="8">
        <v>-9875</v>
      </c>
      <c r="E31" s="8">
        <v>-159630</v>
      </c>
      <c r="F31" s="8">
        <v>-148352</v>
      </c>
      <c r="G31" s="8">
        <v>-161153</v>
      </c>
      <c r="H31" s="8">
        <v>-162004</v>
      </c>
      <c r="I31" s="8">
        <v>-66845</v>
      </c>
      <c r="J31" s="8">
        <v>-230798</v>
      </c>
      <c r="K31" s="8">
        <v>-160805</v>
      </c>
      <c r="L31" s="8">
        <v>-146349</v>
      </c>
      <c r="M31" s="8">
        <v>-145877</v>
      </c>
      <c r="N31" s="25">
        <v>-98807</v>
      </c>
      <c r="O31" s="25">
        <v>-89259</v>
      </c>
      <c r="P31" s="25">
        <v>-85386</v>
      </c>
      <c r="Q31" s="133">
        <v>-41007</v>
      </c>
      <c r="R31" s="25">
        <v>-46466</v>
      </c>
      <c r="S31" s="27">
        <v>-63551</v>
      </c>
      <c r="T31" s="27">
        <v>-76907</v>
      </c>
      <c r="U31" s="28">
        <v>-84409</v>
      </c>
      <c r="V31" s="27">
        <v>-61628</v>
      </c>
      <c r="W31" s="27">
        <v>-68970</v>
      </c>
      <c r="X31" s="27">
        <v>-43249</v>
      </c>
      <c r="Y31" s="27">
        <v>-67600</v>
      </c>
      <c r="Z31" s="27">
        <v>-67686</v>
      </c>
      <c r="AA31" s="27">
        <v>-60430</v>
      </c>
      <c r="AB31" s="27">
        <v>-35275</v>
      </c>
      <c r="AC31" s="27">
        <v>-47670</v>
      </c>
      <c r="AD31" s="27">
        <v>-33727</v>
      </c>
      <c r="AE31" s="27">
        <v>-40157</v>
      </c>
      <c r="AF31" s="27">
        <v>3573</v>
      </c>
      <c r="AG31" s="27">
        <v>-48873</v>
      </c>
    </row>
    <row r="32" spans="1:33" ht="15.75" thickBot="1" x14ac:dyDescent="0.3">
      <c r="A32" s="8" t="s">
        <v>46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130">
        <v>0</v>
      </c>
      <c r="R32" s="44">
        <v>0</v>
      </c>
      <c r="S32" s="43">
        <v>0</v>
      </c>
      <c r="T32" s="43">
        <v>0</v>
      </c>
      <c r="U32" s="43">
        <v>0</v>
      </c>
      <c r="V32" s="44">
        <v>0</v>
      </c>
      <c r="W32" s="43">
        <v>0</v>
      </c>
      <c r="X32" s="43">
        <v>0</v>
      </c>
      <c r="Y32" s="43">
        <v>0</v>
      </c>
      <c r="Z32" s="44">
        <v>0</v>
      </c>
      <c r="AA32" s="43">
        <v>0</v>
      </c>
      <c r="AB32" s="43">
        <v>0</v>
      </c>
      <c r="AC32" s="43">
        <v>0</v>
      </c>
      <c r="AD32" s="44">
        <v>0</v>
      </c>
      <c r="AE32" s="44">
        <v>0</v>
      </c>
      <c r="AF32" s="44">
        <v>0</v>
      </c>
      <c r="AG32" s="44">
        <v>0</v>
      </c>
    </row>
    <row r="33" spans="1:33" ht="15.75" thickBot="1" x14ac:dyDescent="0.3">
      <c r="A33" s="8" t="s">
        <v>47</v>
      </c>
      <c r="B33" s="45">
        <v>-158939</v>
      </c>
      <c r="C33" s="45">
        <v>-161142</v>
      </c>
      <c r="D33" s="45">
        <v>-9875</v>
      </c>
      <c r="E33" s="45">
        <v>-159630</v>
      </c>
      <c r="F33" s="45">
        <v>-148352</v>
      </c>
      <c r="G33" s="45">
        <v>-161153</v>
      </c>
      <c r="H33" s="45">
        <v>-162004</v>
      </c>
      <c r="I33" s="45">
        <v>-66845</v>
      </c>
      <c r="J33" s="45">
        <v>-230798</v>
      </c>
      <c r="K33" s="45">
        <v>-160805</v>
      </c>
      <c r="L33" s="45">
        <v>-146349</v>
      </c>
      <c r="M33" s="45">
        <v>-145877</v>
      </c>
      <c r="N33" s="25">
        <v>-98807</v>
      </c>
      <c r="O33" s="25">
        <v>-89259</v>
      </c>
      <c r="P33" s="25">
        <v>-85386</v>
      </c>
      <c r="Q33" s="133">
        <v>-41007</v>
      </c>
      <c r="R33" s="25">
        <v>-46466</v>
      </c>
      <c r="S33" s="25">
        <v>-63551</v>
      </c>
      <c r="T33" s="25">
        <v>-76907</v>
      </c>
      <c r="U33" s="43">
        <v>-84409</v>
      </c>
      <c r="V33" s="25">
        <v>-61628</v>
      </c>
      <c r="W33" s="25">
        <v>-68970</v>
      </c>
      <c r="X33" s="25">
        <v>-43249</v>
      </c>
      <c r="Y33" s="25">
        <v>-67600</v>
      </c>
      <c r="Z33" s="25">
        <v>-67686</v>
      </c>
      <c r="AA33" s="25">
        <v>-60430</v>
      </c>
      <c r="AB33" s="25">
        <v>-35275</v>
      </c>
      <c r="AC33" s="25">
        <v>-47670</v>
      </c>
      <c r="AD33" s="25">
        <v>-33727</v>
      </c>
      <c r="AE33" s="25">
        <v>-40157</v>
      </c>
      <c r="AF33" s="25">
        <v>3573</v>
      </c>
      <c r="AG33" s="25">
        <v>-48873</v>
      </c>
    </row>
    <row r="34" spans="1:33" x14ac:dyDescent="0.25">
      <c r="A34" s="8" t="s">
        <v>48</v>
      </c>
      <c r="B34" s="45">
        <v>389</v>
      </c>
      <c r="C34" s="45">
        <v>389</v>
      </c>
      <c r="D34" s="45">
        <v>389</v>
      </c>
      <c r="E34" s="45">
        <v>389</v>
      </c>
      <c r="F34" s="45">
        <v>397</v>
      </c>
      <c r="G34" s="45">
        <v>397</v>
      </c>
      <c r="H34" s="45">
        <v>397</v>
      </c>
      <c r="I34" s="45">
        <v>397</v>
      </c>
      <c r="J34" s="45">
        <v>409</v>
      </c>
      <c r="K34" s="45">
        <v>409</v>
      </c>
      <c r="L34" s="45">
        <v>409</v>
      </c>
      <c r="M34" s="45">
        <v>409</v>
      </c>
      <c r="N34" s="43">
        <v>402</v>
      </c>
      <c r="O34" s="43">
        <v>402</v>
      </c>
      <c r="P34" s="43">
        <v>402</v>
      </c>
      <c r="Q34" s="130">
        <v>402</v>
      </c>
      <c r="R34" s="33">
        <v>398</v>
      </c>
      <c r="S34" s="33">
        <v>398</v>
      </c>
      <c r="T34" s="33">
        <v>398</v>
      </c>
      <c r="U34" s="33">
        <v>398</v>
      </c>
      <c r="V34" s="33">
        <v>412</v>
      </c>
      <c r="W34" s="33">
        <v>412</v>
      </c>
      <c r="X34" s="33">
        <v>412</v>
      </c>
      <c r="Y34" s="33">
        <v>412</v>
      </c>
      <c r="Z34" s="33">
        <v>416</v>
      </c>
      <c r="AA34" s="33">
        <v>416</v>
      </c>
      <c r="AB34" s="33">
        <v>416</v>
      </c>
      <c r="AC34" s="33">
        <v>416</v>
      </c>
      <c r="AD34" s="33">
        <v>409</v>
      </c>
      <c r="AE34" s="33">
        <v>409</v>
      </c>
      <c r="AF34" s="33">
        <v>409</v>
      </c>
      <c r="AG34" s="33">
        <v>409</v>
      </c>
    </row>
    <row r="35" spans="1:33" x14ac:dyDescent="0.25">
      <c r="A35" s="8" t="s">
        <v>75</v>
      </c>
      <c r="B35" s="45">
        <v>53</v>
      </c>
      <c r="C35" s="45">
        <v>53</v>
      </c>
      <c r="D35" s="45">
        <v>53</v>
      </c>
      <c r="E35" s="45">
        <v>53</v>
      </c>
      <c r="F35" s="45">
        <v>53</v>
      </c>
      <c r="G35" s="45">
        <v>53</v>
      </c>
      <c r="H35" s="45">
        <v>53</v>
      </c>
      <c r="I35" s="45">
        <v>53</v>
      </c>
      <c r="J35" s="45">
        <v>51</v>
      </c>
      <c r="K35" s="45">
        <v>51</v>
      </c>
      <c r="L35" s="45">
        <v>51</v>
      </c>
      <c r="M35" s="45">
        <v>51</v>
      </c>
      <c r="N35" s="43">
        <v>36</v>
      </c>
      <c r="O35" s="43">
        <v>36</v>
      </c>
      <c r="P35" s="43">
        <v>36</v>
      </c>
      <c r="Q35" s="130">
        <v>36</v>
      </c>
      <c r="R35" s="43">
        <v>40</v>
      </c>
      <c r="S35" s="43">
        <v>40</v>
      </c>
      <c r="T35" s="43">
        <v>40</v>
      </c>
      <c r="U35" s="43">
        <v>40</v>
      </c>
      <c r="V35" s="46">
        <v>48</v>
      </c>
      <c r="W35" s="46">
        <v>48</v>
      </c>
      <c r="X35" s="46">
        <v>48</v>
      </c>
      <c r="Y35" s="46">
        <v>48</v>
      </c>
      <c r="Z35" s="38">
        <v>57</v>
      </c>
      <c r="AA35" s="38">
        <v>57</v>
      </c>
      <c r="AB35" s="38">
        <v>57</v>
      </c>
      <c r="AC35" s="38">
        <v>57</v>
      </c>
      <c r="AD35" s="33">
        <v>49</v>
      </c>
      <c r="AE35" s="33">
        <v>49</v>
      </c>
      <c r="AF35" s="33">
        <v>49</v>
      </c>
      <c r="AG35" s="33">
        <v>49</v>
      </c>
    </row>
    <row r="36" spans="1:33" s="8" customFormat="1" x14ac:dyDescent="0.25">
      <c r="A36" s="8" t="s">
        <v>76</v>
      </c>
      <c r="B36" s="45">
        <v>4.3</v>
      </c>
      <c r="C36" s="45">
        <v>4.3</v>
      </c>
      <c r="D36" s="45">
        <v>4.3</v>
      </c>
      <c r="E36" s="45">
        <v>4.3</v>
      </c>
      <c r="F36" s="45">
        <v>4.3</v>
      </c>
      <c r="G36" s="45">
        <v>4.3</v>
      </c>
      <c r="H36" s="45">
        <v>4.3</v>
      </c>
      <c r="I36" s="45">
        <v>4.3</v>
      </c>
      <c r="J36" s="45">
        <v>4.5</v>
      </c>
      <c r="K36" s="45">
        <v>4.5</v>
      </c>
      <c r="L36" s="45">
        <v>4.5</v>
      </c>
      <c r="M36" s="45">
        <v>4.5</v>
      </c>
      <c r="N36" s="43">
        <v>4.8</v>
      </c>
      <c r="O36" s="43">
        <v>4.8</v>
      </c>
      <c r="P36" s="43">
        <v>4.8</v>
      </c>
      <c r="Q36" s="130">
        <v>4.8</v>
      </c>
      <c r="R36" s="43">
        <v>4.8</v>
      </c>
      <c r="S36" s="43">
        <v>4.8</v>
      </c>
      <c r="T36" s="43">
        <v>4.8</v>
      </c>
      <c r="U36" s="43">
        <v>4.8</v>
      </c>
      <c r="V36" s="47">
        <v>4.7</v>
      </c>
      <c r="W36" s="47">
        <v>4.7</v>
      </c>
      <c r="X36" s="47">
        <v>4.7</v>
      </c>
      <c r="Y36" s="47">
        <v>4.7</v>
      </c>
      <c r="Z36" s="39">
        <v>4.5999999999999996</v>
      </c>
      <c r="AA36" s="39">
        <v>4.5999999999999996</v>
      </c>
      <c r="AB36" s="39">
        <v>4.5999999999999996</v>
      </c>
      <c r="AC36" s="39">
        <v>4.5999999999999996</v>
      </c>
      <c r="AD36" s="40">
        <v>4.7</v>
      </c>
      <c r="AE36" s="40">
        <v>4.7</v>
      </c>
      <c r="AF36" s="40">
        <v>4.7</v>
      </c>
      <c r="AG36" s="40">
        <v>4.7</v>
      </c>
    </row>
    <row r="37" spans="1:33" x14ac:dyDescent="0.25">
      <c r="A37" s="8" t="s">
        <v>57</v>
      </c>
      <c r="B37" s="45">
        <v>34</v>
      </c>
      <c r="C37" s="45">
        <v>34</v>
      </c>
      <c r="D37" s="45">
        <v>34</v>
      </c>
      <c r="E37" s="45">
        <v>34</v>
      </c>
      <c r="F37" s="45">
        <v>29</v>
      </c>
      <c r="G37" s="45">
        <v>29</v>
      </c>
      <c r="H37" s="45">
        <v>29</v>
      </c>
      <c r="I37" s="45">
        <v>29</v>
      </c>
      <c r="J37" s="45">
        <v>10</v>
      </c>
      <c r="K37" s="45">
        <v>10</v>
      </c>
      <c r="L37" s="45">
        <v>10</v>
      </c>
      <c r="M37" s="45">
        <v>10</v>
      </c>
      <c r="N37" s="48">
        <v>4</v>
      </c>
      <c r="O37" s="48">
        <v>4</v>
      </c>
      <c r="P37" s="48">
        <v>4</v>
      </c>
      <c r="Q37" s="134">
        <v>4</v>
      </c>
      <c r="R37" s="48">
        <v>14</v>
      </c>
      <c r="S37" s="48">
        <v>14</v>
      </c>
      <c r="T37" s="48">
        <v>14</v>
      </c>
      <c r="U37" s="48">
        <v>14</v>
      </c>
      <c r="V37" s="49">
        <v>27</v>
      </c>
      <c r="W37" s="46">
        <v>27</v>
      </c>
      <c r="X37" s="46">
        <v>27</v>
      </c>
      <c r="Y37" s="46">
        <v>27</v>
      </c>
      <c r="Z37" s="38">
        <v>35</v>
      </c>
      <c r="AA37" s="38">
        <v>35</v>
      </c>
      <c r="AB37" s="38">
        <v>35</v>
      </c>
      <c r="AC37" s="38">
        <v>35</v>
      </c>
      <c r="AD37" s="33">
        <v>29</v>
      </c>
      <c r="AE37" s="33">
        <v>29</v>
      </c>
      <c r="AF37" s="33">
        <v>29</v>
      </c>
      <c r="AG37" s="33">
        <v>29</v>
      </c>
    </row>
    <row r="38" spans="1:33" ht="15.75" thickBot="1" x14ac:dyDescent="0.3">
      <c r="A38" s="8" t="s">
        <v>58</v>
      </c>
      <c r="B38" s="45">
        <v>63</v>
      </c>
      <c r="C38" s="45">
        <v>63</v>
      </c>
      <c r="D38" s="45">
        <v>63</v>
      </c>
      <c r="E38" s="45">
        <v>63</v>
      </c>
      <c r="F38" s="45">
        <v>71</v>
      </c>
      <c r="G38" s="45">
        <v>71</v>
      </c>
      <c r="H38" s="45">
        <v>71</v>
      </c>
      <c r="I38" s="45">
        <v>71</v>
      </c>
      <c r="J38" s="45">
        <v>66</v>
      </c>
      <c r="K38" s="45">
        <v>66</v>
      </c>
      <c r="L38" s="45">
        <v>66</v>
      </c>
      <c r="M38" s="45">
        <v>66</v>
      </c>
      <c r="N38" s="25">
        <v>50</v>
      </c>
      <c r="O38" s="25">
        <v>50</v>
      </c>
      <c r="P38" s="25">
        <v>50</v>
      </c>
      <c r="Q38" s="133">
        <v>50</v>
      </c>
      <c r="R38" s="33">
        <v>59</v>
      </c>
      <c r="S38" s="33">
        <v>59</v>
      </c>
      <c r="T38" s="33">
        <v>59</v>
      </c>
      <c r="U38" s="33">
        <v>59</v>
      </c>
      <c r="V38" s="46">
        <v>70</v>
      </c>
      <c r="W38" s="46">
        <v>70</v>
      </c>
      <c r="X38" s="46">
        <v>70</v>
      </c>
      <c r="Y38" s="46">
        <v>70</v>
      </c>
      <c r="Z38" s="38">
        <v>64</v>
      </c>
      <c r="AA38" s="38">
        <v>64</v>
      </c>
      <c r="AB38" s="38">
        <v>64</v>
      </c>
      <c r="AC38" s="38">
        <v>64</v>
      </c>
      <c r="AD38" s="33">
        <v>60</v>
      </c>
      <c r="AE38" s="33">
        <v>60</v>
      </c>
      <c r="AF38" s="33">
        <v>60</v>
      </c>
      <c r="AG38" s="33">
        <v>60</v>
      </c>
    </row>
    <row r="39" spans="1:33" ht="15.75" thickBot="1" x14ac:dyDescent="0.3">
      <c r="A39" s="8" t="s">
        <v>59</v>
      </c>
      <c r="B39" s="45">
        <v>73</v>
      </c>
      <c r="C39" s="45">
        <v>73</v>
      </c>
      <c r="D39" s="45">
        <v>73</v>
      </c>
      <c r="E39" s="45">
        <v>73</v>
      </c>
      <c r="F39" s="45">
        <v>53</v>
      </c>
      <c r="G39" s="45">
        <v>53</v>
      </c>
      <c r="H39" s="45">
        <v>53</v>
      </c>
      <c r="I39" s="45">
        <v>53</v>
      </c>
      <c r="J39" s="45">
        <v>22</v>
      </c>
      <c r="K39" s="45">
        <v>22</v>
      </c>
      <c r="L39" s="45">
        <v>22</v>
      </c>
      <c r="M39" s="45">
        <v>22</v>
      </c>
      <c r="N39" s="32">
        <v>16</v>
      </c>
      <c r="O39" s="32">
        <v>16</v>
      </c>
      <c r="P39" s="32">
        <v>16</v>
      </c>
      <c r="Q39" s="135">
        <v>16</v>
      </c>
      <c r="R39" s="34">
        <v>22</v>
      </c>
      <c r="S39" s="34">
        <v>22</v>
      </c>
      <c r="T39" s="34">
        <v>22</v>
      </c>
      <c r="U39" s="34">
        <v>22</v>
      </c>
      <c r="V39" s="46">
        <v>27</v>
      </c>
      <c r="W39" s="46">
        <v>27</v>
      </c>
      <c r="X39" s="46">
        <v>27</v>
      </c>
      <c r="Y39" s="46">
        <v>27</v>
      </c>
      <c r="Z39" s="38">
        <v>30</v>
      </c>
      <c r="AA39" s="38">
        <v>30</v>
      </c>
      <c r="AB39" s="38">
        <v>30</v>
      </c>
      <c r="AC39" s="38">
        <v>30</v>
      </c>
      <c r="AD39" s="33">
        <v>41</v>
      </c>
      <c r="AE39" s="33">
        <v>41</v>
      </c>
      <c r="AF39" s="33">
        <v>41</v>
      </c>
      <c r="AG39" s="33">
        <v>41</v>
      </c>
    </row>
    <row r="40" spans="1:33" ht="15.75" thickBot="1" x14ac:dyDescent="0.3">
      <c r="A40" s="8" t="s">
        <v>60</v>
      </c>
      <c r="B40" s="45">
        <v>51</v>
      </c>
      <c r="C40" s="45">
        <v>51</v>
      </c>
      <c r="D40" s="45">
        <v>51</v>
      </c>
      <c r="E40" s="45">
        <v>51</v>
      </c>
      <c r="F40" s="45">
        <v>44</v>
      </c>
      <c r="G40" s="45">
        <v>44</v>
      </c>
      <c r="H40" s="45">
        <v>44</v>
      </c>
      <c r="I40" s="45">
        <v>44</v>
      </c>
      <c r="J40" s="45">
        <v>42</v>
      </c>
      <c r="K40" s="45">
        <v>42</v>
      </c>
      <c r="L40" s="45">
        <v>42</v>
      </c>
      <c r="M40" s="45">
        <v>42</v>
      </c>
      <c r="N40" s="25">
        <v>43</v>
      </c>
      <c r="O40" s="25">
        <v>43</v>
      </c>
      <c r="P40" s="25">
        <v>43</v>
      </c>
      <c r="Q40" s="133">
        <v>43</v>
      </c>
      <c r="R40" s="33">
        <v>35</v>
      </c>
      <c r="S40" s="33">
        <v>35</v>
      </c>
      <c r="T40" s="33">
        <v>35</v>
      </c>
      <c r="U40" s="33">
        <v>35</v>
      </c>
      <c r="V40" s="46">
        <v>41</v>
      </c>
      <c r="W40" s="46">
        <v>41</v>
      </c>
      <c r="X40" s="46">
        <v>41</v>
      </c>
      <c r="Y40" s="46">
        <v>41</v>
      </c>
      <c r="Z40" s="38">
        <v>45</v>
      </c>
      <c r="AA40" s="38">
        <v>45</v>
      </c>
      <c r="AB40" s="38">
        <v>45</v>
      </c>
      <c r="AC40" s="38">
        <v>45</v>
      </c>
      <c r="AD40" s="33">
        <v>42</v>
      </c>
      <c r="AE40" s="33">
        <v>42</v>
      </c>
      <c r="AF40" s="33">
        <v>42</v>
      </c>
      <c r="AG40" s="33">
        <v>42</v>
      </c>
    </row>
    <row r="41" spans="1:33" ht="15.75" thickBot="1" x14ac:dyDescent="0.3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36"/>
    </row>
    <row r="42" spans="1:33" ht="15.75" thickBot="1" x14ac:dyDescent="0.3">
      <c r="A42" s="13" t="s">
        <v>78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4"/>
      <c r="O42" s="14"/>
      <c r="P42" s="14"/>
      <c r="Q42" s="136"/>
    </row>
    <row r="43" spans="1:33" ht="15.75" thickBot="1" x14ac:dyDescent="0.3">
      <c r="A43" s="13" t="s">
        <v>79</v>
      </c>
      <c r="B43" s="110">
        <f>B25+B28-B27+B26</f>
        <v>124213</v>
      </c>
      <c r="C43" s="110">
        <f t="shared" ref="C43:AG43" si="0">C25+C28-C27+C26</f>
        <v>126866</v>
      </c>
      <c r="D43" s="110">
        <f t="shared" si="0"/>
        <v>122397</v>
      </c>
      <c r="E43" s="110">
        <f t="shared" si="0"/>
        <v>128134</v>
      </c>
      <c r="F43" s="110">
        <f t="shared" si="0"/>
        <v>121574</v>
      </c>
      <c r="G43" s="110">
        <f t="shared" si="0"/>
        <v>125017</v>
      </c>
      <c r="H43" s="110">
        <f t="shared" si="0"/>
        <v>129991</v>
      </c>
      <c r="I43" s="110">
        <f t="shared" si="0"/>
        <v>127118</v>
      </c>
      <c r="J43" s="110">
        <f t="shared" si="0"/>
        <v>139997</v>
      </c>
      <c r="K43" s="110">
        <f t="shared" si="0"/>
        <v>125216</v>
      </c>
      <c r="L43" s="110">
        <f t="shared" si="0"/>
        <v>125104</v>
      </c>
      <c r="M43" s="110">
        <f t="shared" si="0"/>
        <v>122375</v>
      </c>
      <c r="N43" s="110">
        <f t="shared" si="0"/>
        <v>123013</v>
      </c>
      <c r="O43" s="110">
        <f t="shared" si="0"/>
        <v>128439</v>
      </c>
      <c r="P43" s="110">
        <f t="shared" si="0"/>
        <v>134075</v>
      </c>
      <c r="Q43" s="137">
        <f t="shared" si="0"/>
        <v>116100</v>
      </c>
      <c r="R43" s="110">
        <f t="shared" si="0"/>
        <v>142845</v>
      </c>
      <c r="S43" s="110">
        <f t="shared" si="0"/>
        <v>124690</v>
      </c>
      <c r="T43" s="110">
        <f t="shared" si="0"/>
        <v>126034</v>
      </c>
      <c r="U43" s="110">
        <f t="shared" si="0"/>
        <v>132013</v>
      </c>
      <c r="V43" s="110">
        <f t="shared" si="0"/>
        <v>102882</v>
      </c>
      <c r="W43" s="110">
        <f t="shared" si="0"/>
        <v>717320</v>
      </c>
      <c r="X43" s="110">
        <f t="shared" si="0"/>
        <v>120577</v>
      </c>
      <c r="Y43" s="110">
        <f t="shared" si="0"/>
        <v>121690</v>
      </c>
      <c r="Z43" s="110">
        <f t="shared" si="0"/>
        <v>117931</v>
      </c>
      <c r="AA43" s="110">
        <f t="shared" si="0"/>
        <v>197416</v>
      </c>
      <c r="AB43" s="110">
        <f t="shared" si="0"/>
        <v>107856</v>
      </c>
      <c r="AC43" s="110">
        <f t="shared" si="0"/>
        <v>107298</v>
      </c>
      <c r="AD43" s="110">
        <f t="shared" si="0"/>
        <v>91699</v>
      </c>
      <c r="AE43" s="110">
        <f t="shared" si="0"/>
        <v>95587</v>
      </c>
      <c r="AF43" s="110">
        <f t="shared" si="0"/>
        <v>135852</v>
      </c>
      <c r="AG43" s="110">
        <f t="shared" si="0"/>
        <v>80906</v>
      </c>
    </row>
    <row r="44" spans="1:33" ht="15.75" thickBot="1" x14ac:dyDescent="0.3">
      <c r="A44" s="13" t="s">
        <v>80</v>
      </c>
      <c r="B44" s="52">
        <f>B43/B26</f>
        <v>9.6596158332685285</v>
      </c>
      <c r="C44" s="52">
        <f t="shared" ref="C44:AG44" si="1">C43/C26</f>
        <v>9.7784800369970704</v>
      </c>
      <c r="D44" s="52">
        <f t="shared" si="1"/>
        <v>8.7457663451232577</v>
      </c>
      <c r="E44" s="52">
        <f t="shared" si="1"/>
        <v>9.3494345129514773</v>
      </c>
      <c r="F44" s="52">
        <f t="shared" si="1"/>
        <v>10.644777164871728</v>
      </c>
      <c r="G44" s="52">
        <f t="shared" si="1"/>
        <v>8.7418362352283054</v>
      </c>
      <c r="H44" s="52">
        <f t="shared" si="1"/>
        <v>8.442070398753085</v>
      </c>
      <c r="I44" s="52">
        <f t="shared" si="1"/>
        <v>8.9218135878719824</v>
      </c>
      <c r="J44" s="52">
        <f t="shared" si="1"/>
        <v>5.6473174667204518</v>
      </c>
      <c r="K44" s="52">
        <f t="shared" si="1"/>
        <v>10.873219868009725</v>
      </c>
      <c r="L44" s="52">
        <f t="shared" si="1"/>
        <v>14.177697189483228</v>
      </c>
      <c r="M44" s="52">
        <f t="shared" si="1"/>
        <v>10.749736472241743</v>
      </c>
      <c r="N44" s="52">
        <f t="shared" si="1"/>
        <v>11.602810790416903</v>
      </c>
      <c r="O44" s="52">
        <f t="shared" si="1"/>
        <v>11.452429781542577</v>
      </c>
      <c r="P44" s="52">
        <f t="shared" si="1"/>
        <v>6.8010043623820637</v>
      </c>
      <c r="Q44" s="138">
        <f t="shared" si="1"/>
        <v>9.4267619356934063</v>
      </c>
      <c r="R44" s="52">
        <f t="shared" si="1"/>
        <v>2.8290620296284561</v>
      </c>
      <c r="S44" s="52">
        <f t="shared" si="1"/>
        <v>13.177975058127245</v>
      </c>
      <c r="T44" s="52">
        <f t="shared" si="1"/>
        <v>14.093033657609304</v>
      </c>
      <c r="U44" s="52">
        <f t="shared" si="1"/>
        <v>9.3071771009588264</v>
      </c>
      <c r="V44" s="52">
        <f t="shared" si="1"/>
        <v>13.462706097880137</v>
      </c>
      <c r="W44" s="52">
        <f t="shared" si="1"/>
        <v>9.8622377430087713</v>
      </c>
      <c r="X44" s="52">
        <f t="shared" si="1"/>
        <v>15.468505452212957</v>
      </c>
      <c r="Y44" s="52">
        <f t="shared" si="1"/>
        <v>18.168109883547327</v>
      </c>
      <c r="Z44" s="52">
        <f t="shared" si="1"/>
        <v>10.180507596685082</v>
      </c>
      <c r="AA44" s="52">
        <f t="shared" si="1"/>
        <v>12.217848743656393</v>
      </c>
      <c r="AB44" s="52">
        <f t="shared" si="1"/>
        <v>5.5353348729792149</v>
      </c>
      <c r="AC44" s="52">
        <f t="shared" si="1"/>
        <v>3.915842487500456</v>
      </c>
      <c r="AD44" s="52">
        <f t="shared" si="1"/>
        <v>6.1559479054779809</v>
      </c>
      <c r="AE44" s="52">
        <f t="shared" si="1"/>
        <v>4.7024647021203325</v>
      </c>
      <c r="AF44" s="52">
        <f t="shared" si="1"/>
        <v>7.3808540693252205</v>
      </c>
      <c r="AG44" s="52">
        <f t="shared" si="1"/>
        <v>4.67421572592293</v>
      </c>
    </row>
    <row r="45" spans="1:33" ht="15.75" thickBot="1" x14ac:dyDescent="0.3">
      <c r="A45" s="13" t="s">
        <v>81</v>
      </c>
      <c r="B45" s="52">
        <f>B43/B11</f>
        <v>5.7927575723517581E-2</v>
      </c>
      <c r="C45" s="52">
        <f t="shared" ref="C45:AG45" si="2">C43/C11</f>
        <v>5.7886384521531387E-2</v>
      </c>
      <c r="D45" s="52">
        <f t="shared" si="2"/>
        <v>5.467471321873995E-2</v>
      </c>
      <c r="E45" s="52">
        <f t="shared" si="2"/>
        <v>6.0256244459754006E-2</v>
      </c>
      <c r="F45" s="52">
        <f t="shared" si="2"/>
        <v>5.7604741277601464E-2</v>
      </c>
      <c r="G45" s="52">
        <f t="shared" si="2"/>
        <v>6.1323545137311725E-2</v>
      </c>
      <c r="H45" s="52">
        <f t="shared" si="2"/>
        <v>6.6572502730941924E-2</v>
      </c>
      <c r="I45" s="52">
        <f t="shared" si="2"/>
        <v>5.9457474748183435E-2</v>
      </c>
      <c r="J45" s="52">
        <f t="shared" si="2"/>
        <v>6.6236091305569719E-2</v>
      </c>
      <c r="K45" s="52">
        <f t="shared" si="2"/>
        <v>5.364651123733663E-2</v>
      </c>
      <c r="L45" s="52">
        <f t="shared" si="2"/>
        <v>5.2299319796143683E-2</v>
      </c>
      <c r="M45" s="52">
        <f t="shared" si="2"/>
        <v>5.4828860030153075E-2</v>
      </c>
      <c r="N45" s="52">
        <f t="shared" si="2"/>
        <v>6.9674512811392336E-2</v>
      </c>
      <c r="O45" s="52">
        <f t="shared" si="2"/>
        <v>7.2339663384772393E-2</v>
      </c>
      <c r="P45" s="52">
        <f t="shared" si="2"/>
        <v>7.1323242306984391E-2</v>
      </c>
      <c r="Q45" s="138">
        <f t="shared" si="2"/>
        <v>6.4521148598707348E-2</v>
      </c>
      <c r="R45" s="52">
        <f t="shared" si="2"/>
        <v>8.1445974654790393E-2</v>
      </c>
      <c r="S45" s="52">
        <f t="shared" si="2"/>
        <v>6.8302778124705574E-2</v>
      </c>
      <c r="T45" s="52">
        <f t="shared" si="2"/>
        <v>6.930135040692563E-2</v>
      </c>
      <c r="U45" s="52">
        <f t="shared" si="2"/>
        <v>7.6331830361118083E-2</v>
      </c>
      <c r="V45" s="52">
        <f t="shared" si="2"/>
        <v>6.0880525474880168E-2</v>
      </c>
      <c r="W45" s="52">
        <f t="shared" si="2"/>
        <v>0.43302749192133161</v>
      </c>
      <c r="X45" s="52">
        <f t="shared" si="2"/>
        <v>7.693780185183649E-2</v>
      </c>
      <c r="Y45" s="52">
        <f t="shared" si="2"/>
        <v>7.7765884364066271E-2</v>
      </c>
      <c r="Z45" s="52">
        <f t="shared" si="2"/>
        <v>7.8991611273205642E-2</v>
      </c>
      <c r="AA45" s="52">
        <f t="shared" si="2"/>
        <v>0.12008221376186354</v>
      </c>
      <c r="AB45" s="52">
        <f t="shared" si="2"/>
        <v>6.3914174290805467E-2</v>
      </c>
      <c r="AC45" s="52">
        <f t="shared" si="2"/>
        <v>6.1803402764097834E-2</v>
      </c>
      <c r="AD45" s="52">
        <f t="shared" si="2"/>
        <v>5.6666479218253601E-2</v>
      </c>
      <c r="AE45" s="52">
        <f t="shared" si="2"/>
        <v>5.8174862363656946E-2</v>
      </c>
      <c r="AF45" s="52">
        <f t="shared" si="2"/>
        <v>8.0549280492360237E-2</v>
      </c>
      <c r="AG45" s="52">
        <f t="shared" si="2"/>
        <v>4.6743102437220699E-2</v>
      </c>
    </row>
    <row r="46" spans="1:33" ht="15.75" thickBot="1" x14ac:dyDescent="0.3">
      <c r="A46" s="13" t="s">
        <v>82</v>
      </c>
      <c r="B46" s="52">
        <f>(B43-B26)/B43</f>
        <v>0.89647621424488577</v>
      </c>
      <c r="C46" s="52">
        <f t="shared" ref="C46:AG46" si="3">(C43-C26)/C43</f>
        <v>0.89773461762804851</v>
      </c>
      <c r="D46" s="52">
        <f t="shared" si="3"/>
        <v>0.88565896222946638</v>
      </c>
      <c r="E46" s="52">
        <f t="shared" si="3"/>
        <v>0.89304165951269765</v>
      </c>
      <c r="F46" s="52">
        <f t="shared" si="3"/>
        <v>0.90605721618109136</v>
      </c>
      <c r="G46" s="52">
        <f t="shared" si="3"/>
        <v>0.88560755737219743</v>
      </c>
      <c r="H46" s="52">
        <f t="shared" si="3"/>
        <v>0.88154564546776315</v>
      </c>
      <c r="I46" s="52">
        <f t="shared" si="3"/>
        <v>0.88791516543683824</v>
      </c>
      <c r="J46" s="52">
        <f t="shared" si="3"/>
        <v>0.82292477695950628</v>
      </c>
      <c r="K46" s="52">
        <f t="shared" si="3"/>
        <v>0.90803092256580631</v>
      </c>
      <c r="L46" s="52">
        <f t="shared" si="3"/>
        <v>0.92946668371914565</v>
      </c>
      <c r="M46" s="52">
        <f t="shared" si="3"/>
        <v>0.90697446373850865</v>
      </c>
      <c r="N46" s="52">
        <f t="shared" si="3"/>
        <v>0.91381398713957063</v>
      </c>
      <c r="O46" s="52">
        <f t="shared" si="3"/>
        <v>0.91268228497574722</v>
      </c>
      <c r="P46" s="52">
        <f t="shared" si="3"/>
        <v>0.85296289390266644</v>
      </c>
      <c r="Q46" s="138">
        <f t="shared" si="3"/>
        <v>0.8939190353143841</v>
      </c>
      <c r="R46" s="52">
        <f t="shared" si="3"/>
        <v>0.64652595470615004</v>
      </c>
      <c r="S46" s="52">
        <f t="shared" si="3"/>
        <v>0.9241158072018606</v>
      </c>
      <c r="T46" s="52">
        <f t="shared" si="3"/>
        <v>0.92904295666248793</v>
      </c>
      <c r="U46" s="52">
        <f t="shared" si="3"/>
        <v>0.89255603614795509</v>
      </c>
      <c r="V46" s="52">
        <f t="shared" si="3"/>
        <v>0.92572072860169907</v>
      </c>
      <c r="W46" s="52">
        <f t="shared" si="3"/>
        <v>0.898603133887247</v>
      </c>
      <c r="X46" s="52">
        <f t="shared" si="3"/>
        <v>0.93535251333172997</v>
      </c>
      <c r="Y46" s="52">
        <f t="shared" si="3"/>
        <v>0.94495850110937629</v>
      </c>
      <c r="Z46" s="52">
        <f t="shared" si="3"/>
        <v>0.90177307069388035</v>
      </c>
      <c r="AA46" s="52">
        <f t="shared" si="3"/>
        <v>0.91815253069660008</v>
      </c>
      <c r="AB46" s="52">
        <f t="shared" si="3"/>
        <v>0.81934245660881178</v>
      </c>
      <c r="AC46" s="52">
        <f t="shared" si="3"/>
        <v>0.74462711327331355</v>
      </c>
      <c r="AD46" s="52">
        <f t="shared" si="3"/>
        <v>0.83755548043053907</v>
      </c>
      <c r="AE46" s="52">
        <f t="shared" si="3"/>
        <v>0.78734555954261565</v>
      </c>
      <c r="AF46" s="52">
        <f t="shared" si="3"/>
        <v>0.86451432441185994</v>
      </c>
      <c r="AG46" s="52">
        <f t="shared" si="3"/>
        <v>0.78606036635107412</v>
      </c>
    </row>
    <row r="47" spans="1:33" ht="15.75" thickBot="1" x14ac:dyDescent="0.3">
      <c r="A47" s="13" t="s">
        <v>83</v>
      </c>
      <c r="B47" s="52">
        <f>SUM(B44:B46)</f>
        <v>10.614019623236933</v>
      </c>
      <c r="C47" s="52">
        <f t="shared" ref="C47:AG47" si="4">SUM(C44:C46)</f>
        <v>10.734101039146649</v>
      </c>
      <c r="D47" s="52">
        <f t="shared" si="4"/>
        <v>9.6861000205714642</v>
      </c>
      <c r="E47" s="52">
        <f t="shared" si="4"/>
        <v>10.302732416923929</v>
      </c>
      <c r="F47" s="52">
        <f t="shared" si="4"/>
        <v>11.60843912233042</v>
      </c>
      <c r="G47" s="52">
        <f t="shared" si="4"/>
        <v>9.6887673377378132</v>
      </c>
      <c r="H47" s="52">
        <f t="shared" si="4"/>
        <v>9.3901885469517907</v>
      </c>
      <c r="I47" s="52">
        <f t="shared" si="4"/>
        <v>9.8691862280570053</v>
      </c>
      <c r="J47" s="52">
        <f t="shared" si="4"/>
        <v>6.5364783349855271</v>
      </c>
      <c r="K47" s="52">
        <f t="shared" si="4"/>
        <v>11.83489730181287</v>
      </c>
      <c r="L47" s="52">
        <f t="shared" si="4"/>
        <v>15.159463192998516</v>
      </c>
      <c r="M47" s="52">
        <f t="shared" si="4"/>
        <v>11.711539796010404</v>
      </c>
      <c r="N47" s="52">
        <f t="shared" si="4"/>
        <v>12.586299290367867</v>
      </c>
      <c r="O47" s="52">
        <f t="shared" si="4"/>
        <v>12.437451729903096</v>
      </c>
      <c r="P47" s="52">
        <f t="shared" si="4"/>
        <v>7.7252904985917148</v>
      </c>
      <c r="Q47" s="138">
        <f t="shared" si="4"/>
        <v>10.385202119606499</v>
      </c>
      <c r="R47" s="52">
        <f t="shared" si="4"/>
        <v>3.5570339589893964</v>
      </c>
      <c r="S47" s="52">
        <f t="shared" si="4"/>
        <v>14.170393643453812</v>
      </c>
      <c r="T47" s="52">
        <f t="shared" si="4"/>
        <v>15.091377964678719</v>
      </c>
      <c r="U47" s="52">
        <f t="shared" si="4"/>
        <v>10.276064967467899</v>
      </c>
      <c r="V47" s="52">
        <f t="shared" si="4"/>
        <v>14.449307351956715</v>
      </c>
      <c r="W47" s="52">
        <f t="shared" si="4"/>
        <v>11.19386836881735</v>
      </c>
      <c r="X47" s="52">
        <f t="shared" si="4"/>
        <v>16.480795767396522</v>
      </c>
      <c r="Y47" s="52">
        <f t="shared" si="4"/>
        <v>19.190834269020769</v>
      </c>
      <c r="Z47" s="52">
        <f t="shared" si="4"/>
        <v>11.161272278652168</v>
      </c>
      <c r="AA47" s="52">
        <f t="shared" si="4"/>
        <v>13.256083488114857</v>
      </c>
      <c r="AB47" s="52">
        <f t="shared" si="4"/>
        <v>6.4185915038788321</v>
      </c>
      <c r="AC47" s="52">
        <f t="shared" si="4"/>
        <v>4.7222730035378673</v>
      </c>
      <c r="AD47" s="52">
        <f t="shared" si="4"/>
        <v>7.0501698651267732</v>
      </c>
      <c r="AE47" s="52">
        <f t="shared" si="4"/>
        <v>5.5479851240266056</v>
      </c>
      <c r="AF47" s="52">
        <f t="shared" si="4"/>
        <v>8.3259176742294407</v>
      </c>
      <c r="AG47" s="52">
        <f t="shared" si="4"/>
        <v>5.5070191947112246</v>
      </c>
    </row>
    <row r="48" spans="1:33" ht="15.75" thickBot="1" x14ac:dyDescent="0.3">
      <c r="A48" s="13" t="s">
        <v>85</v>
      </c>
      <c r="B48" s="52">
        <f>B33/B15</f>
        <v>-0.20272262768136609</v>
      </c>
      <c r="C48" s="52">
        <f>C33/C15</f>
        <v>-0.20397179315486549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4"/>
      <c r="O48" s="14"/>
      <c r="P48" s="14"/>
      <c r="Q48" s="136"/>
    </row>
    <row r="49" spans="1:33" ht="15.75" thickBot="1" x14ac:dyDescent="0.3">
      <c r="A49" s="13" t="s">
        <v>86</v>
      </c>
      <c r="B49" s="52">
        <f>B33/B11</f>
        <v>-7.4122281547987418E-2</v>
      </c>
      <c r="C49" s="52">
        <f>C33/C11</f>
        <v>-7.3525828626807899E-2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33" ht="15.75" thickBot="1" x14ac:dyDescent="0.3">
      <c r="A50" s="1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2"/>
      <c r="O50" s="12"/>
      <c r="P50" s="12"/>
      <c r="Q50" s="139"/>
    </row>
    <row r="51" spans="1:33" ht="15.75" thickBot="1" x14ac:dyDescent="0.3">
      <c r="A51" s="13" t="s">
        <v>131</v>
      </c>
      <c r="B51" s="111">
        <f t="shared" ref="B51:AG51" si="5">B43+B10</f>
        <v>163187</v>
      </c>
      <c r="C51" s="111">
        <f t="shared" si="5"/>
        <v>168029</v>
      </c>
      <c r="D51" s="111">
        <f t="shared" si="5"/>
        <v>164332</v>
      </c>
      <c r="E51" s="111">
        <f t="shared" si="5"/>
        <v>168038</v>
      </c>
      <c r="F51" s="111">
        <f t="shared" si="5"/>
        <v>162758</v>
      </c>
      <c r="G51" s="111">
        <f t="shared" si="5"/>
        <v>165104</v>
      </c>
      <c r="H51" s="111">
        <f t="shared" si="5"/>
        <v>168407</v>
      </c>
      <c r="I51" s="111">
        <f t="shared" si="5"/>
        <v>170647</v>
      </c>
      <c r="J51" s="111">
        <f t="shared" si="5"/>
        <v>190512</v>
      </c>
      <c r="K51" s="111">
        <f t="shared" si="5"/>
        <v>177108</v>
      </c>
      <c r="L51" s="111">
        <f t="shared" si="5"/>
        <v>179915</v>
      </c>
      <c r="M51" s="111">
        <f t="shared" si="5"/>
        <v>170236</v>
      </c>
      <c r="N51" s="111">
        <f t="shared" si="5"/>
        <v>608097</v>
      </c>
      <c r="O51" s="111">
        <f t="shared" si="5"/>
        <v>580218</v>
      </c>
      <c r="P51" s="111">
        <f t="shared" si="5"/>
        <v>623914</v>
      </c>
      <c r="Q51" s="140">
        <f t="shared" si="5"/>
        <v>554684</v>
      </c>
      <c r="R51" s="111">
        <f t="shared" si="5"/>
        <v>620225</v>
      </c>
      <c r="S51" s="111">
        <f t="shared" si="5"/>
        <v>169494</v>
      </c>
      <c r="T51" s="111">
        <f t="shared" si="5"/>
        <v>590433</v>
      </c>
      <c r="U51" s="111">
        <f t="shared" si="5"/>
        <v>590716</v>
      </c>
      <c r="V51" s="111">
        <f t="shared" si="5"/>
        <v>555370</v>
      </c>
      <c r="W51" s="111">
        <f t="shared" si="5"/>
        <v>1284033</v>
      </c>
      <c r="X51" s="111">
        <f t="shared" si="5"/>
        <v>694502</v>
      </c>
      <c r="Y51" s="111">
        <f t="shared" si="5"/>
        <v>698829</v>
      </c>
      <c r="Z51" s="111">
        <f t="shared" si="5"/>
        <v>661206</v>
      </c>
      <c r="AA51" s="111">
        <f t="shared" si="5"/>
        <v>869260</v>
      </c>
      <c r="AB51" s="111">
        <f t="shared" si="5"/>
        <v>715770</v>
      </c>
      <c r="AC51" s="111">
        <f t="shared" si="5"/>
        <v>759803</v>
      </c>
      <c r="AD51" s="111">
        <f t="shared" si="5"/>
        <v>141699</v>
      </c>
      <c r="AE51" s="111">
        <f t="shared" si="5"/>
        <v>876811</v>
      </c>
      <c r="AF51" s="111">
        <f t="shared" si="5"/>
        <v>974349</v>
      </c>
      <c r="AG51" s="111">
        <f t="shared" si="5"/>
        <v>976676</v>
      </c>
    </row>
    <row r="52" spans="1:33" ht="15.75" thickBot="1" x14ac:dyDescent="0.3">
      <c r="A52" s="13" t="s">
        <v>132</v>
      </c>
      <c r="B52" s="81">
        <f t="shared" ref="B52:AG52" si="6">SUM(B12:B14)/B11</f>
        <v>0.80361995466079306</v>
      </c>
      <c r="C52" s="81">
        <f t="shared" si="6"/>
        <v>0.86691460907321372</v>
      </c>
      <c r="D52" s="81">
        <f t="shared" si="6"/>
        <v>0.80073526784118931</v>
      </c>
      <c r="E52" s="81">
        <f t="shared" si="6"/>
        <v>0.86783024568713163</v>
      </c>
      <c r="F52" s="81">
        <f t="shared" si="6"/>
        <v>0.74922885060597422</v>
      </c>
      <c r="G52" s="81">
        <f t="shared" si="6"/>
        <v>0.73495398416399904</v>
      </c>
      <c r="H52" s="81">
        <f t="shared" si="6"/>
        <v>0.7392251346009957</v>
      </c>
      <c r="I52" s="81">
        <f t="shared" si="6"/>
        <v>0.83733035854188442</v>
      </c>
      <c r="J52" s="81">
        <f t="shared" si="6"/>
        <v>0.94053574791138939</v>
      </c>
      <c r="K52" s="81">
        <f t="shared" si="6"/>
        <v>1.013426194489168</v>
      </c>
      <c r="L52" s="81">
        <f t="shared" si="6"/>
        <v>1.1134290409547853</v>
      </c>
      <c r="M52" s="81">
        <f t="shared" si="6"/>
        <v>1.213394147257213</v>
      </c>
      <c r="N52" s="81">
        <f t="shared" si="6"/>
        <v>1.1681646047833578</v>
      </c>
      <c r="O52" s="81">
        <f t="shared" si="6"/>
        <v>1.1491225846930919</v>
      </c>
      <c r="P52" s="81">
        <f t="shared" si="6"/>
        <v>1.0759433605947797</v>
      </c>
      <c r="Q52" s="141">
        <f t="shared" si="6"/>
        <v>0.96540810599029681</v>
      </c>
      <c r="R52" s="81">
        <f t="shared" si="6"/>
        <v>1.0003631984728558</v>
      </c>
      <c r="S52" s="81">
        <f t="shared" si="6"/>
        <v>0.43222802139412386</v>
      </c>
      <c r="T52" s="81">
        <f t="shared" si="6"/>
        <v>0.44418539818556424</v>
      </c>
      <c r="U52" s="81">
        <f t="shared" si="6"/>
        <v>0.46450109918575833</v>
      </c>
      <c r="V52" s="81">
        <f t="shared" si="6"/>
        <v>0.46728267944848806</v>
      </c>
      <c r="W52" s="81">
        <f t="shared" si="6"/>
        <v>0.48077267867696372</v>
      </c>
      <c r="X52" s="81">
        <f t="shared" si="6"/>
        <v>0.5305835052427863</v>
      </c>
      <c r="Y52" s="81">
        <f t="shared" si="6"/>
        <v>0.52154841595705592</v>
      </c>
      <c r="Z52" s="81">
        <f t="shared" si="6"/>
        <v>0.54001122605086826</v>
      </c>
      <c r="AA52" s="81">
        <f t="shared" si="6"/>
        <v>0.57092153500562959</v>
      </c>
      <c r="AB52" s="81">
        <f t="shared" si="6"/>
        <v>0.58235462482363098</v>
      </c>
      <c r="AC52" s="81">
        <f t="shared" si="6"/>
        <v>0.62171407703854231</v>
      </c>
      <c r="AD52" s="81">
        <f t="shared" si="6"/>
        <v>0.61064018988730229</v>
      </c>
      <c r="AE52" s="81">
        <f t="shared" si="6"/>
        <v>0.64097515790293702</v>
      </c>
      <c r="AF52" s="81">
        <f t="shared" si="6"/>
        <v>0.64851503347029771</v>
      </c>
      <c r="AG52" s="81">
        <f t="shared" si="6"/>
        <v>0.68588075904244405</v>
      </c>
    </row>
    <row r="53" spans="1:33" ht="15.75" thickBot="1" x14ac:dyDescent="0.3">
      <c r="A53" s="13" t="s">
        <v>133</v>
      </c>
      <c r="B53" s="83">
        <f t="shared" ref="B53:O53" si="7">B59*B18</f>
        <v>0</v>
      </c>
      <c r="C53" s="83">
        <f t="shared" si="7"/>
        <v>0</v>
      </c>
      <c r="D53" s="83">
        <f t="shared" si="7"/>
        <v>0</v>
      </c>
      <c r="E53" s="83">
        <f t="shared" si="7"/>
        <v>0</v>
      </c>
      <c r="F53" s="83">
        <f t="shared" si="7"/>
        <v>0</v>
      </c>
      <c r="G53" s="83">
        <f t="shared" si="7"/>
        <v>0</v>
      </c>
      <c r="H53" s="83">
        <f t="shared" si="7"/>
        <v>0</v>
      </c>
      <c r="I53" s="83">
        <f t="shared" si="7"/>
        <v>0</v>
      </c>
      <c r="J53" s="83">
        <f t="shared" si="7"/>
        <v>0</v>
      </c>
      <c r="K53" s="83">
        <f t="shared" si="7"/>
        <v>0</v>
      </c>
      <c r="L53" s="83">
        <f t="shared" si="7"/>
        <v>0</v>
      </c>
      <c r="M53" s="83">
        <f t="shared" si="7"/>
        <v>0</v>
      </c>
      <c r="N53" s="83">
        <f t="shared" si="7"/>
        <v>0</v>
      </c>
      <c r="O53" s="83" t="e">
        <f t="shared" si="7"/>
        <v>#VALUE!</v>
      </c>
      <c r="P53" s="83">
        <f t="shared" ref="P53:R53" si="8">P59*P18</f>
        <v>2451397.9056000002</v>
      </c>
      <c r="Q53" s="142">
        <f t="shared" ref="Q53" si="9">Q59*Q18</f>
        <v>1027282.7597999999</v>
      </c>
      <c r="R53" s="83">
        <f t="shared" si="8"/>
        <v>747870.2699999999</v>
      </c>
      <c r="S53" s="83">
        <f t="shared" ref="S53:X53" si="10">S59*S18</f>
        <v>394270.40399999998</v>
      </c>
      <c r="T53" s="83">
        <f t="shared" si="10"/>
        <v>517199.57499999995</v>
      </c>
      <c r="U53" s="83">
        <f t="shared" si="10"/>
        <v>583435.00800000003</v>
      </c>
      <c r="V53" s="83">
        <f t="shared" si="10"/>
        <v>222507.89399999997</v>
      </c>
      <c r="W53" s="83">
        <f t="shared" si="10"/>
        <v>476444.75999999995</v>
      </c>
      <c r="X53" s="83">
        <f t="shared" si="10"/>
        <v>165816.666</v>
      </c>
      <c r="Y53" s="83">
        <f t="shared" ref="Y53:AG53" si="11">Y59*Y18</f>
        <v>408844.79999999999</v>
      </c>
      <c r="Z53" s="83">
        <f t="shared" si="11"/>
        <v>519320.83500000002</v>
      </c>
      <c r="AA53" s="83">
        <f t="shared" si="11"/>
        <v>297146.39600000001</v>
      </c>
      <c r="AB53" s="83">
        <f t="shared" si="11"/>
        <v>87072.810000000012</v>
      </c>
      <c r="AC53" s="83">
        <f t="shared" si="11"/>
        <v>96388.74</v>
      </c>
      <c r="AD53" s="83">
        <f t="shared" si="11"/>
        <v>47561.815399999999</v>
      </c>
      <c r="AE53" s="83">
        <f t="shared" si="11"/>
        <v>66158.657500000001</v>
      </c>
      <c r="AF53" s="83">
        <f t="shared" si="11"/>
        <v>374.45040000000006</v>
      </c>
      <c r="AG53" s="83">
        <f t="shared" si="11"/>
        <v>82570.933499999999</v>
      </c>
    </row>
    <row r="54" spans="1:33" ht="15.75" thickBot="1" x14ac:dyDescent="0.3">
      <c r="A54" s="13" t="s">
        <v>134</v>
      </c>
      <c r="B54" s="81" t="e">
        <f t="shared" ref="B54:O54" si="12">LN(B53)</f>
        <v>#NUM!</v>
      </c>
      <c r="C54" s="81" t="e">
        <f t="shared" si="12"/>
        <v>#NUM!</v>
      </c>
      <c r="D54" s="81" t="e">
        <f t="shared" si="12"/>
        <v>#NUM!</v>
      </c>
      <c r="E54" s="81" t="e">
        <f t="shared" si="12"/>
        <v>#NUM!</v>
      </c>
      <c r="F54" s="81" t="e">
        <f t="shared" si="12"/>
        <v>#NUM!</v>
      </c>
      <c r="G54" s="81" t="e">
        <f t="shared" si="12"/>
        <v>#NUM!</v>
      </c>
      <c r="H54" s="81" t="e">
        <f t="shared" si="12"/>
        <v>#NUM!</v>
      </c>
      <c r="I54" s="81" t="e">
        <f t="shared" si="12"/>
        <v>#NUM!</v>
      </c>
      <c r="J54" s="81" t="e">
        <f t="shared" si="12"/>
        <v>#NUM!</v>
      </c>
      <c r="K54" s="81" t="e">
        <f t="shared" si="12"/>
        <v>#NUM!</v>
      </c>
      <c r="L54" s="81" t="e">
        <f t="shared" si="12"/>
        <v>#NUM!</v>
      </c>
      <c r="M54" s="81" t="e">
        <f t="shared" si="12"/>
        <v>#NUM!</v>
      </c>
      <c r="N54" s="81" t="e">
        <f t="shared" si="12"/>
        <v>#NUM!</v>
      </c>
      <c r="O54" s="81" t="e">
        <f t="shared" si="12"/>
        <v>#VALUE!</v>
      </c>
      <c r="P54" s="81">
        <f t="shared" ref="P54:R54" si="13">LN(P53)</f>
        <v>14.712168993519905</v>
      </c>
      <c r="Q54" s="141">
        <f t="shared" ref="Q54" si="14">LN(Q53)</f>
        <v>13.842427777013501</v>
      </c>
      <c r="R54" s="81">
        <f t="shared" si="13"/>
        <v>13.524984806086005</v>
      </c>
      <c r="S54" s="81">
        <f t="shared" ref="S54:X54" si="15">LN(S53)</f>
        <v>12.884792257449316</v>
      </c>
      <c r="T54" s="81">
        <f t="shared" si="15"/>
        <v>13.156184104147096</v>
      </c>
      <c r="U54" s="81">
        <f t="shared" si="15"/>
        <v>13.276688341471779</v>
      </c>
      <c r="V54" s="81">
        <f t="shared" si="15"/>
        <v>12.312717858610764</v>
      </c>
      <c r="W54" s="81">
        <f t="shared" si="15"/>
        <v>13.07410706670977</v>
      </c>
      <c r="X54" s="81">
        <f t="shared" si="15"/>
        <v>12.018638035328891</v>
      </c>
      <c r="Y54" s="81">
        <f t="shared" ref="Y54:AG54" si="16">LN(Y53)</f>
        <v>12.921090900908288</v>
      </c>
      <c r="Z54" s="81">
        <f t="shared" si="16"/>
        <v>13.160277150344729</v>
      </c>
      <c r="AA54" s="81">
        <f t="shared" si="16"/>
        <v>12.601980212166653</v>
      </c>
      <c r="AB54" s="81">
        <f t="shared" si="16"/>
        <v>11.374499944185789</v>
      </c>
      <c r="AC54" s="81">
        <f t="shared" si="16"/>
        <v>11.476144668797151</v>
      </c>
      <c r="AD54" s="81">
        <f t="shared" si="16"/>
        <v>10.769785520807941</v>
      </c>
      <c r="AE54" s="81">
        <f t="shared" si="16"/>
        <v>11.099811037774643</v>
      </c>
      <c r="AF54" s="81">
        <f t="shared" si="16"/>
        <v>5.9254593509282145</v>
      </c>
      <c r="AG54" s="81">
        <f t="shared" si="16"/>
        <v>11.321413002906487</v>
      </c>
    </row>
    <row r="55" spans="1:33" ht="15.75" thickBot="1" x14ac:dyDescent="0.3">
      <c r="A55" s="13" t="str">
        <f>A44</f>
        <v>HCE</v>
      </c>
      <c r="B55" s="52">
        <f t="shared" ref="B55:O55" si="17">B51/B26</f>
        <v>12.690489151566997</v>
      </c>
      <c r="C55" s="52">
        <f t="shared" si="17"/>
        <v>12.951210112532758</v>
      </c>
      <c r="D55" s="52">
        <f t="shared" si="17"/>
        <v>11.742193640585924</v>
      </c>
      <c r="E55" s="52">
        <f t="shared" si="17"/>
        <v>12.261072601240423</v>
      </c>
      <c r="F55" s="52">
        <f t="shared" si="17"/>
        <v>14.250766132562823</v>
      </c>
      <c r="G55" s="52">
        <f t="shared" si="17"/>
        <v>11.54492692818684</v>
      </c>
      <c r="H55" s="52">
        <f t="shared" si="17"/>
        <v>10.936939862319782</v>
      </c>
      <c r="I55" s="52">
        <f t="shared" si="17"/>
        <v>11.976909039865244</v>
      </c>
      <c r="J55" s="52">
        <f t="shared" si="17"/>
        <v>7.6850342880193629</v>
      </c>
      <c r="K55" s="52">
        <f t="shared" si="17"/>
        <v>15.379298367488712</v>
      </c>
      <c r="L55" s="52">
        <f t="shared" si="17"/>
        <v>20.389279238440615</v>
      </c>
      <c r="M55" s="52">
        <f t="shared" si="17"/>
        <v>14.953970484891075</v>
      </c>
      <c r="N55" s="52">
        <f t="shared" si="17"/>
        <v>57.356819468024902</v>
      </c>
      <c r="O55" s="52">
        <f t="shared" si="17"/>
        <v>51.735889433794028</v>
      </c>
      <c r="P55" s="52">
        <f t="shared" ref="P55:R55" si="18">P51/P26</f>
        <v>31.648270264786447</v>
      </c>
      <c r="Q55" s="138">
        <f t="shared" ref="Q55" si="19">Q51/Q26</f>
        <v>45.037674569665477</v>
      </c>
      <c r="R55" s="52">
        <f t="shared" si="18"/>
        <v>12.283629089756793</v>
      </c>
      <c r="S55" s="52">
        <f t="shared" ref="S55:X55" si="20">S51/S26</f>
        <v>17.913126188966391</v>
      </c>
      <c r="T55" s="52">
        <f t="shared" si="20"/>
        <v>66.021804763502175</v>
      </c>
      <c r="U55" s="52">
        <f t="shared" si="20"/>
        <v>41.646644106034969</v>
      </c>
      <c r="V55" s="52">
        <f t="shared" si="20"/>
        <v>72.673383930908145</v>
      </c>
      <c r="W55" s="52">
        <f t="shared" si="20"/>
        <v>17.65382077157863</v>
      </c>
      <c r="X55" s="52">
        <f t="shared" si="20"/>
        <v>89.095830660679923</v>
      </c>
      <c r="Y55" s="52">
        <f t="shared" ref="Y55:AG55" si="21">Y51/Y26</f>
        <v>104.33398029262466</v>
      </c>
      <c r="Z55" s="52">
        <f t="shared" si="21"/>
        <v>57.079247237569064</v>
      </c>
      <c r="AA55" s="52">
        <f t="shared" si="21"/>
        <v>53.79749969055576</v>
      </c>
      <c r="AB55" s="52">
        <f t="shared" si="21"/>
        <v>36.734411085450347</v>
      </c>
      <c r="AC55" s="52">
        <f t="shared" si="21"/>
        <v>27.729024488157368</v>
      </c>
      <c r="AD55" s="52">
        <f t="shared" si="21"/>
        <v>9.5125537056928042</v>
      </c>
      <c r="AE55" s="52">
        <f t="shared" si="21"/>
        <v>43.135288040537219</v>
      </c>
      <c r="AF55" s="52">
        <f t="shared" si="21"/>
        <v>52.936488101705969</v>
      </c>
      <c r="AG55" s="52">
        <f t="shared" si="21"/>
        <v>56.425905598243688</v>
      </c>
    </row>
    <row r="56" spans="1:33" ht="15.75" thickBot="1" x14ac:dyDescent="0.3">
      <c r="A56" s="13" t="str">
        <f t="shared" ref="A56:A57" si="22">A45</f>
        <v>CEE</v>
      </c>
      <c r="B56" s="52">
        <f t="shared" ref="B56:O56" si="23">B51/B11</f>
        <v>7.6103365183947433E-2</v>
      </c>
      <c r="C56" s="52">
        <f t="shared" si="23"/>
        <v>7.6668227143351225E-2</v>
      </c>
      <c r="D56" s="52">
        <f t="shared" si="23"/>
        <v>7.3407068577350534E-2</v>
      </c>
      <c r="E56" s="52">
        <f t="shared" si="23"/>
        <v>7.9021483810137391E-2</v>
      </c>
      <c r="F56" s="52">
        <f t="shared" si="23"/>
        <v>7.7118729998682772E-2</v>
      </c>
      <c r="G56" s="52">
        <f t="shared" si="23"/>
        <v>8.0987086527038038E-2</v>
      </c>
      <c r="H56" s="52">
        <f t="shared" si="23"/>
        <v>8.6246551433635674E-2</v>
      </c>
      <c r="I56" s="52">
        <f t="shared" si="23"/>
        <v>7.9817489996328289E-2</v>
      </c>
      <c r="J56" s="52">
        <f t="shared" si="23"/>
        <v>9.0136004534430728E-2</v>
      </c>
      <c r="K56" s="52">
        <f t="shared" si="23"/>
        <v>7.5878692117798172E-2</v>
      </c>
      <c r="L56" s="52">
        <f t="shared" si="23"/>
        <v>7.5212879852947875E-2</v>
      </c>
      <c r="M56" s="52">
        <f t="shared" si="23"/>
        <v>7.6272488793406645E-2</v>
      </c>
      <c r="N56" s="52">
        <f t="shared" si="23"/>
        <v>0.34442589171119509</v>
      </c>
      <c r="O56" s="52">
        <f t="shared" si="23"/>
        <v>0.32679151044297972</v>
      </c>
      <c r="P56" s="52">
        <f t="shared" ref="P56:R56" si="24">P51/P11</f>
        <v>0.3319005735649439</v>
      </c>
      <c r="Q56" s="138">
        <f t="shared" ref="Q56" si="25">Q51/Q11</f>
        <v>0.30825881816817735</v>
      </c>
      <c r="R56" s="52">
        <f t="shared" si="24"/>
        <v>0.3536338662905063</v>
      </c>
      <c r="S56" s="52">
        <f t="shared" ref="S56:X56" si="26">S51/S11</f>
        <v>9.2845545556731454E-2</v>
      </c>
      <c r="T56" s="52">
        <f t="shared" si="26"/>
        <v>0.32465687215205674</v>
      </c>
      <c r="U56" s="52">
        <f t="shared" si="26"/>
        <v>0.34156055466960245</v>
      </c>
      <c r="V56" s="52">
        <f t="shared" si="26"/>
        <v>0.32864074797325288</v>
      </c>
      <c r="W56" s="52">
        <f t="shared" si="26"/>
        <v>0.7751374414964356</v>
      </c>
      <c r="X56" s="52">
        <f t="shared" si="26"/>
        <v>0.44314800717967895</v>
      </c>
      <c r="Y56" s="52">
        <f t="shared" ref="Y56:AG56" si="27">Y51/Y11</f>
        <v>0.44658603997252089</v>
      </c>
      <c r="Z56" s="52">
        <f t="shared" si="27"/>
        <v>0.44288378224140562</v>
      </c>
      <c r="AA56" s="52">
        <f t="shared" si="27"/>
        <v>0.52874470729139234</v>
      </c>
      <c r="AB56" s="52">
        <f t="shared" si="27"/>
        <v>0.42415673242220947</v>
      </c>
      <c r="AC56" s="52">
        <f t="shared" si="27"/>
        <v>0.43764479142546764</v>
      </c>
      <c r="AD56" s="52">
        <f t="shared" si="27"/>
        <v>8.7564569283714297E-2</v>
      </c>
      <c r="AE56" s="52">
        <f t="shared" si="27"/>
        <v>0.53363280826828341</v>
      </c>
      <c r="AF56" s="52">
        <f t="shared" si="27"/>
        <v>0.57771038261086105</v>
      </c>
      <c r="AG56" s="52">
        <f t="shared" si="27"/>
        <v>0.56427046592310781</v>
      </c>
    </row>
    <row r="57" spans="1:33" ht="15.75" thickBot="1" x14ac:dyDescent="0.3">
      <c r="A57" s="13" t="str">
        <f t="shared" si="22"/>
        <v>SCE</v>
      </c>
      <c r="B57" s="52">
        <f t="shared" ref="B57:O57" si="28">(B51-B26)/B51</f>
        <v>0.92120083094854366</v>
      </c>
      <c r="C57" s="52">
        <f t="shared" si="28"/>
        <v>0.92278713793452316</v>
      </c>
      <c r="D57" s="52">
        <f t="shared" si="28"/>
        <v>0.91483703721734055</v>
      </c>
      <c r="E57" s="52">
        <f t="shared" si="28"/>
        <v>0.91844106690153415</v>
      </c>
      <c r="F57" s="52">
        <f t="shared" si="28"/>
        <v>0.92982833409110455</v>
      </c>
      <c r="G57" s="52">
        <f t="shared" si="28"/>
        <v>0.91338186839810054</v>
      </c>
      <c r="H57" s="52">
        <f t="shared" si="28"/>
        <v>0.90856674603787257</v>
      </c>
      <c r="I57" s="52">
        <f t="shared" si="28"/>
        <v>0.91650600362151102</v>
      </c>
      <c r="J57" s="52">
        <f t="shared" si="28"/>
        <v>0.86987696313093144</v>
      </c>
      <c r="K57" s="52">
        <f t="shared" si="28"/>
        <v>0.93497752783612265</v>
      </c>
      <c r="L57" s="52">
        <f t="shared" si="28"/>
        <v>0.95095461745824417</v>
      </c>
      <c r="M57" s="52">
        <f t="shared" si="28"/>
        <v>0.93312812801052658</v>
      </c>
      <c r="N57" s="52">
        <f t="shared" si="28"/>
        <v>0.98256528152580924</v>
      </c>
      <c r="O57" s="52">
        <f t="shared" si="28"/>
        <v>0.98067105811953437</v>
      </c>
      <c r="P57" s="52">
        <f t="shared" ref="P57:R57" si="29">(P51-P26)/P51</f>
        <v>0.96840269652548272</v>
      </c>
      <c r="Q57" s="138">
        <f t="shared" ref="Q57" si="30">(Q51-Q26)/Q51</f>
        <v>0.97779636694045624</v>
      </c>
      <c r="R57" s="52">
        <f t="shared" si="29"/>
        <v>0.91859083397154262</v>
      </c>
      <c r="S57" s="52">
        <f t="shared" ref="S57:X57" si="31">(S51-S26)/S51</f>
        <v>0.9441750150447803</v>
      </c>
      <c r="T57" s="52">
        <f t="shared" si="31"/>
        <v>0.98485348888019475</v>
      </c>
      <c r="U57" s="52">
        <f t="shared" si="31"/>
        <v>0.97598846146032947</v>
      </c>
      <c r="V57" s="52">
        <f t="shared" si="31"/>
        <v>0.98623980409456757</v>
      </c>
      <c r="W57" s="52">
        <f t="shared" si="31"/>
        <v>0.94335503838296986</v>
      </c>
      <c r="X57" s="52">
        <f t="shared" si="31"/>
        <v>0.9887761302343262</v>
      </c>
      <c r="Y57" s="52">
        <f t="shared" ref="Y57:AG57" si="32">(Y51-Y26)/Y51</f>
        <v>0.99041539489631947</v>
      </c>
      <c r="Z57" s="52">
        <f t="shared" si="32"/>
        <v>0.98248049775712865</v>
      </c>
      <c r="AA57" s="52">
        <f t="shared" si="32"/>
        <v>0.98141177553321213</v>
      </c>
      <c r="AB57" s="52">
        <f t="shared" si="32"/>
        <v>0.9727775682132529</v>
      </c>
      <c r="AC57" s="52">
        <f t="shared" si="32"/>
        <v>0.96393670464580949</v>
      </c>
      <c r="AD57" s="52">
        <f t="shared" si="32"/>
        <v>0.89487575776822703</v>
      </c>
      <c r="AE57" s="52">
        <f t="shared" si="32"/>
        <v>0.97681712478515892</v>
      </c>
      <c r="AF57" s="52">
        <f t="shared" si="32"/>
        <v>0.9811094381992489</v>
      </c>
      <c r="AG57" s="52">
        <f t="shared" si="32"/>
        <v>0.98227764376313131</v>
      </c>
    </row>
    <row r="58" spans="1:33" ht="15.75" thickBot="1" x14ac:dyDescent="0.3">
      <c r="A58" s="13" t="str">
        <f>A47</f>
        <v>VAIC</v>
      </c>
      <c r="B58" s="52">
        <f t="shared" ref="B58:O58" si="33">SUM(B55:B57)</f>
        <v>13.687793347699488</v>
      </c>
      <c r="C58" s="52">
        <f t="shared" si="33"/>
        <v>13.950665477610633</v>
      </c>
      <c r="D58" s="52">
        <f t="shared" si="33"/>
        <v>12.730437746380616</v>
      </c>
      <c r="E58" s="52">
        <f t="shared" si="33"/>
        <v>13.258535151952096</v>
      </c>
      <c r="F58" s="52">
        <f t="shared" si="33"/>
        <v>15.25771319665261</v>
      </c>
      <c r="G58" s="52">
        <f t="shared" si="33"/>
        <v>12.539295883111979</v>
      </c>
      <c r="H58" s="52">
        <f t="shared" si="33"/>
        <v>11.93175315979129</v>
      </c>
      <c r="I58" s="52">
        <f t="shared" si="33"/>
        <v>12.973232533483083</v>
      </c>
      <c r="J58" s="52">
        <f t="shared" si="33"/>
        <v>8.6450472556847249</v>
      </c>
      <c r="K58" s="52">
        <f t="shared" si="33"/>
        <v>16.390154587442634</v>
      </c>
      <c r="L58" s="52">
        <f t="shared" si="33"/>
        <v>21.415446735751807</v>
      </c>
      <c r="M58" s="52">
        <f t="shared" si="33"/>
        <v>15.963371101695008</v>
      </c>
      <c r="N58" s="52">
        <f t="shared" si="33"/>
        <v>58.683810641261907</v>
      </c>
      <c r="O58" s="52">
        <f t="shared" si="33"/>
        <v>53.043352002356542</v>
      </c>
      <c r="P58" s="52">
        <f t="shared" ref="P58:R58" si="34">SUM(P55:P57)</f>
        <v>32.948573534876871</v>
      </c>
      <c r="Q58" s="138">
        <f t="shared" ref="Q58" si="35">SUM(Q55:Q57)</f>
        <v>46.323729754774106</v>
      </c>
      <c r="R58" s="52">
        <f t="shared" si="34"/>
        <v>13.555853790018842</v>
      </c>
      <c r="S58" s="52">
        <f t="shared" ref="S58:X58" si="36">SUM(S55:S57)</f>
        <v>18.950146749567903</v>
      </c>
      <c r="T58" s="52">
        <f t="shared" si="36"/>
        <v>67.331315124534427</v>
      </c>
      <c r="U58" s="52">
        <f t="shared" si="36"/>
        <v>42.964193122164907</v>
      </c>
      <c r="V58" s="52">
        <f t="shared" si="36"/>
        <v>73.988264482975964</v>
      </c>
      <c r="W58" s="52">
        <f t="shared" si="36"/>
        <v>19.372313251458035</v>
      </c>
      <c r="X58" s="52">
        <f t="shared" si="36"/>
        <v>90.527754798093923</v>
      </c>
      <c r="Y58" s="52">
        <f t="shared" ref="Y58:AG58" si="37">SUM(Y55:Y57)</f>
        <v>105.77098172749349</v>
      </c>
      <c r="Z58" s="52">
        <f t="shared" si="37"/>
        <v>58.504611517567596</v>
      </c>
      <c r="AA58" s="52">
        <f t="shared" si="37"/>
        <v>55.307656173380366</v>
      </c>
      <c r="AB58" s="52">
        <f t="shared" si="37"/>
        <v>38.131345386085812</v>
      </c>
      <c r="AC58" s="52">
        <f t="shared" si="37"/>
        <v>29.130605984228644</v>
      </c>
      <c r="AD58" s="52">
        <f t="shared" si="37"/>
        <v>10.494994032744746</v>
      </c>
      <c r="AE58" s="52">
        <f t="shared" si="37"/>
        <v>44.645737973590663</v>
      </c>
      <c r="AF58" s="52">
        <f t="shared" si="37"/>
        <v>54.495307922516076</v>
      </c>
      <c r="AG58" s="52">
        <f t="shared" si="37"/>
        <v>57.97245370792993</v>
      </c>
    </row>
    <row r="59" spans="1:33" x14ac:dyDescent="0.25">
      <c r="A59" s="88" t="s">
        <v>136</v>
      </c>
      <c r="B59" s="89">
        <f t="shared" ref="B59:O59" si="38">B33*B19</f>
        <v>0</v>
      </c>
      <c r="C59" s="89">
        <f t="shared" si="38"/>
        <v>0</v>
      </c>
      <c r="D59" s="89">
        <f t="shared" si="38"/>
        <v>0</v>
      </c>
      <c r="E59" s="89">
        <f t="shared" si="38"/>
        <v>0</v>
      </c>
      <c r="F59" s="89">
        <f t="shared" si="38"/>
        <v>0</v>
      </c>
      <c r="G59" s="89">
        <f t="shared" si="38"/>
        <v>0</v>
      </c>
      <c r="H59" s="89">
        <f t="shared" si="38"/>
        <v>0</v>
      </c>
      <c r="I59" s="89">
        <f t="shared" si="38"/>
        <v>0</v>
      </c>
      <c r="J59" s="89">
        <f t="shared" si="38"/>
        <v>0</v>
      </c>
      <c r="K59" s="89">
        <f t="shared" si="38"/>
        <v>0</v>
      </c>
      <c r="L59" s="89">
        <f t="shared" si="38"/>
        <v>0</v>
      </c>
      <c r="M59" s="89">
        <f t="shared" si="38"/>
        <v>0</v>
      </c>
      <c r="N59" s="89">
        <f t="shared" si="38"/>
        <v>0</v>
      </c>
      <c r="O59" s="89">
        <f t="shared" si="38"/>
        <v>0</v>
      </c>
      <c r="P59" s="89">
        <f>P33*P19</f>
        <v>116124.96</v>
      </c>
      <c r="Q59" s="142">
        <f>Q33*Q19</f>
        <v>48388.259999999995</v>
      </c>
      <c r="R59" s="89">
        <f>R33*R19</f>
        <v>34384.839999999997</v>
      </c>
      <c r="S59" s="89">
        <f>S33*S19</f>
        <v>27962.44</v>
      </c>
      <c r="T59" s="89">
        <f t="shared" ref="T59:X59" si="39">T33*T19</f>
        <v>38453.5</v>
      </c>
      <c r="U59" s="89">
        <f t="shared" si="39"/>
        <v>45580.86</v>
      </c>
      <c r="V59" s="89">
        <f t="shared" si="39"/>
        <v>17872.12</v>
      </c>
      <c r="W59" s="89">
        <f t="shared" si="39"/>
        <v>30346.799999999999</v>
      </c>
      <c r="X59" s="89">
        <f t="shared" si="39"/>
        <v>11677.230000000001</v>
      </c>
      <c r="Y59" s="89">
        <f t="shared" ref="Y59:AG59" si="40">Y33*Y19</f>
        <v>28392</v>
      </c>
      <c r="Z59" s="89">
        <f t="shared" si="40"/>
        <v>30458.7</v>
      </c>
      <c r="AA59" s="89">
        <f>ABS(AA33*AA19)</f>
        <v>22963.4</v>
      </c>
      <c r="AB59" s="89">
        <f t="shared" si="40"/>
        <v>7760.5</v>
      </c>
      <c r="AC59" s="89">
        <f t="shared" si="40"/>
        <v>14301</v>
      </c>
      <c r="AD59" s="89">
        <f t="shared" si="40"/>
        <v>7419.94</v>
      </c>
      <c r="AE59" s="89">
        <f t="shared" si="40"/>
        <v>10039.25</v>
      </c>
      <c r="AF59" s="89">
        <f t="shared" si="40"/>
        <v>71.460000000000008</v>
      </c>
      <c r="AG59" s="89">
        <f t="shared" si="40"/>
        <v>15150.63</v>
      </c>
    </row>
    <row r="60" spans="1:33" ht="15.75" thickBot="1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5"/>
      <c r="O60" s="14"/>
      <c r="P60" s="15"/>
      <c r="Q60" s="143"/>
    </row>
    <row r="61" spans="1:33" ht="15.75" thickBot="1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6"/>
      <c r="O61" s="16"/>
      <c r="P61" s="16"/>
      <c r="Q61" s="144"/>
    </row>
    <row r="62" spans="1:33" ht="15.75" thickBot="1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5"/>
      <c r="O62" s="14"/>
      <c r="P62" s="15"/>
      <c r="Q62" s="143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33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2"/>
      <c r="O64" s="12"/>
      <c r="P64" s="12"/>
      <c r="Q64" s="139"/>
    </row>
    <row r="65" spans="1:17" ht="15.75" thickBot="1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4"/>
      <c r="O65" s="14"/>
      <c r="P65" s="14"/>
      <c r="Q65" s="136"/>
    </row>
    <row r="66" spans="1:17" ht="15.75" thickBot="1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4"/>
      <c r="O66" s="14"/>
      <c r="P66" s="14"/>
      <c r="Q66" s="136"/>
    </row>
    <row r="67" spans="1:17" ht="15.75" thickBot="1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4"/>
      <c r="O67" s="14"/>
      <c r="P67" s="14"/>
      <c r="Q67" s="136"/>
    </row>
    <row r="68" spans="1:17" ht="15.75" thickBot="1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4"/>
      <c r="O68" s="14"/>
      <c r="P68" s="14"/>
      <c r="Q68" s="136"/>
    </row>
    <row r="69" spans="1:17" ht="15.75" thickBot="1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4"/>
      <c r="O69" s="14"/>
      <c r="P69" s="14"/>
      <c r="Q69" s="136"/>
    </row>
    <row r="70" spans="1:17" ht="15.75" thickBo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4"/>
      <c r="O70" s="14"/>
      <c r="P70" s="14"/>
      <c r="Q70" s="136"/>
    </row>
    <row r="71" spans="1:17" ht="15.75" thickBot="1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4"/>
      <c r="O71" s="14"/>
      <c r="P71" s="14"/>
      <c r="Q71" s="136"/>
    </row>
    <row r="72" spans="1:17" ht="15.75" thickBot="1" x14ac:dyDescent="0.3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4"/>
      <c r="O72" s="14"/>
      <c r="P72" s="14"/>
      <c r="Q72" s="136"/>
    </row>
    <row r="73" spans="1:17" ht="15.75" thickBot="1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4"/>
      <c r="O73" s="14"/>
      <c r="P73" s="14"/>
      <c r="Q73" s="136"/>
    </row>
    <row r="74" spans="1:17" ht="15.75" thickBot="1" x14ac:dyDescent="0.3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5"/>
      <c r="O74" s="15"/>
      <c r="P74" s="15"/>
      <c r="Q74" s="143"/>
    </row>
    <row r="75" spans="1:17" ht="15.75" thickBot="1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6"/>
      <c r="O75" s="16"/>
      <c r="P75" s="16"/>
      <c r="Q75" s="144"/>
    </row>
    <row r="76" spans="1:17" ht="15.75" thickBot="1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5"/>
      <c r="O76" s="15"/>
      <c r="P76" s="15"/>
      <c r="Q76" s="14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32"/>
  <sheetViews>
    <sheetView topLeftCell="J1" workbookViewId="0">
      <selection activeCell="Q21" sqref="Q21"/>
    </sheetView>
  </sheetViews>
  <sheetFormatPr defaultRowHeight="15" x14ac:dyDescent="0.25"/>
  <cols>
    <col min="1" max="1" width="36.5703125" customWidth="1"/>
    <col min="2" max="2" width="11.5703125" customWidth="1"/>
    <col min="3" max="3" width="11" customWidth="1"/>
    <col min="4" max="4" width="11.28515625" customWidth="1"/>
    <col min="5" max="5" width="11.140625" customWidth="1"/>
    <col min="6" max="6" width="10.85546875" customWidth="1"/>
    <col min="7" max="7" width="11.5703125" customWidth="1"/>
    <col min="8" max="8" width="11.28515625" customWidth="1"/>
    <col min="9" max="9" width="11.140625" customWidth="1"/>
    <col min="10" max="11" width="11" customWidth="1"/>
    <col min="12" max="12" width="10.5703125" customWidth="1"/>
    <col min="13" max="13" width="11.5703125" customWidth="1"/>
    <col min="14" max="14" width="11" customWidth="1"/>
    <col min="15" max="15" width="11.5703125" customWidth="1"/>
    <col min="16" max="16" width="11.7109375" customWidth="1"/>
    <col min="17" max="17" width="11.5703125" customWidth="1"/>
    <col min="18" max="18" width="11.28515625" customWidth="1"/>
    <col min="19" max="19" width="11.5703125" customWidth="1"/>
    <col min="20" max="20" width="11.7109375" customWidth="1"/>
    <col min="21" max="21" width="11.5703125" customWidth="1"/>
  </cols>
  <sheetData>
    <row r="4" spans="1:21" x14ac:dyDescent="0.25">
      <c r="A4" s="8" t="s">
        <v>1</v>
      </c>
      <c r="B4" s="1" t="s">
        <v>14</v>
      </c>
      <c r="C4" s="1" t="s">
        <v>15</v>
      </c>
      <c r="D4" s="1" t="s">
        <v>16</v>
      </c>
      <c r="E4" s="1" t="s">
        <v>17</v>
      </c>
      <c r="F4" s="4" t="s">
        <v>18</v>
      </c>
      <c r="G4" s="4" t="s">
        <v>19</v>
      </c>
      <c r="H4" s="4" t="s">
        <v>20</v>
      </c>
      <c r="I4" s="4" t="s">
        <v>21</v>
      </c>
      <c r="J4" s="20" t="s">
        <v>22</v>
      </c>
      <c r="K4" s="20" t="s">
        <v>23</v>
      </c>
      <c r="L4" s="5" t="s">
        <v>24</v>
      </c>
      <c r="M4" s="5" t="s">
        <v>25</v>
      </c>
      <c r="N4" s="1" t="s">
        <v>26</v>
      </c>
      <c r="O4" s="1" t="s">
        <v>27</v>
      </c>
      <c r="P4" s="1" t="s">
        <v>28</v>
      </c>
      <c r="Q4" s="1" t="s">
        <v>29</v>
      </c>
      <c r="R4" s="4" t="s">
        <v>30</v>
      </c>
      <c r="S4" s="4" t="s">
        <v>31</v>
      </c>
      <c r="T4" s="4" t="s">
        <v>32</v>
      </c>
      <c r="U4" s="4" t="s">
        <v>33</v>
      </c>
    </row>
    <row r="5" spans="1:21" x14ac:dyDescent="0.25">
      <c r="A5" s="8" t="s">
        <v>2</v>
      </c>
      <c r="B5" s="8"/>
      <c r="C5" s="8"/>
      <c r="D5" s="8"/>
      <c r="E5" s="8"/>
      <c r="F5" s="8"/>
      <c r="G5" s="8"/>
      <c r="H5" s="8"/>
      <c r="I5" s="8"/>
      <c r="J5" s="21"/>
      <c r="K5" s="21"/>
      <c r="L5" s="18"/>
      <c r="M5" s="18"/>
      <c r="N5" s="18"/>
      <c r="O5" s="18"/>
      <c r="P5" s="8"/>
      <c r="Q5" s="8"/>
      <c r="R5" s="8"/>
      <c r="S5" s="8"/>
      <c r="T5" s="8"/>
      <c r="U5" s="8"/>
    </row>
    <row r="6" spans="1:21" x14ac:dyDescent="0.25">
      <c r="A6" s="8" t="s">
        <v>3</v>
      </c>
      <c r="B6" s="8"/>
      <c r="C6" s="8"/>
      <c r="D6" s="8"/>
      <c r="E6" s="8"/>
      <c r="F6" s="8"/>
      <c r="G6" s="8"/>
      <c r="H6" s="8"/>
      <c r="I6" s="8"/>
      <c r="J6" s="21"/>
      <c r="K6" s="21"/>
      <c r="L6" s="18"/>
      <c r="M6" s="18"/>
      <c r="N6" s="18"/>
      <c r="O6" s="18"/>
      <c r="P6" s="8"/>
      <c r="Q6" s="8"/>
      <c r="R6" s="8"/>
      <c r="S6" s="8"/>
      <c r="T6" s="8"/>
      <c r="U6" s="8"/>
    </row>
    <row r="7" spans="1:21" x14ac:dyDescent="0.25">
      <c r="A7" s="8" t="s">
        <v>4</v>
      </c>
      <c r="B7" s="8"/>
      <c r="C7" s="8"/>
      <c r="D7" s="8"/>
      <c r="E7" s="8"/>
      <c r="F7" s="8"/>
      <c r="G7" s="8"/>
      <c r="H7" s="8"/>
      <c r="I7" s="8"/>
      <c r="J7" s="11"/>
      <c r="K7" s="11"/>
      <c r="L7" s="19"/>
      <c r="M7" s="19"/>
      <c r="N7" s="19"/>
      <c r="O7" s="19"/>
      <c r="P7" s="8"/>
      <c r="Q7" s="8"/>
      <c r="R7" s="8"/>
      <c r="S7" s="8"/>
      <c r="T7" s="8"/>
      <c r="U7" s="8"/>
    </row>
    <row r="8" spans="1:21" x14ac:dyDescent="0.25">
      <c r="A8" s="8" t="s">
        <v>5</v>
      </c>
      <c r="B8" s="8"/>
      <c r="C8" s="8"/>
      <c r="D8" s="8"/>
      <c r="E8" s="8"/>
      <c r="F8" s="8"/>
      <c r="G8" s="8"/>
      <c r="H8" s="8"/>
      <c r="I8" s="8"/>
      <c r="J8" s="21"/>
      <c r="K8" s="21"/>
      <c r="L8" s="18"/>
      <c r="M8" s="18"/>
      <c r="N8" s="18"/>
      <c r="O8" s="18"/>
      <c r="P8" s="8"/>
      <c r="Q8" s="8"/>
      <c r="R8" s="8"/>
      <c r="S8" s="8"/>
      <c r="T8" s="8"/>
      <c r="U8" s="8"/>
    </row>
    <row r="9" spans="1:2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21"/>
      <c r="K9" s="21"/>
      <c r="L9" s="18"/>
      <c r="M9" s="18"/>
      <c r="N9" s="18"/>
      <c r="O9" s="18"/>
      <c r="P9" s="8"/>
      <c r="Q9" s="8"/>
      <c r="R9" s="8"/>
      <c r="S9" s="8"/>
      <c r="T9" s="8"/>
      <c r="U9" s="8"/>
    </row>
    <row r="10" spans="1:2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  <c r="J10" s="21"/>
      <c r="K10" s="21"/>
      <c r="L10" s="18"/>
      <c r="M10" s="18"/>
      <c r="N10" s="18"/>
      <c r="O10" s="18"/>
      <c r="P10" s="8"/>
      <c r="Q10" s="8"/>
      <c r="R10" s="8"/>
      <c r="S10" s="8"/>
      <c r="T10" s="8"/>
      <c r="U10" s="8"/>
    </row>
    <row r="11" spans="1:2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21"/>
      <c r="K11" s="21"/>
      <c r="L11" s="18"/>
      <c r="M11" s="18"/>
      <c r="N11" s="18"/>
      <c r="O11" s="18"/>
      <c r="P11" s="8"/>
      <c r="Q11" s="8"/>
      <c r="R11" s="8"/>
      <c r="S11" s="8"/>
      <c r="T11" s="8"/>
      <c r="U11" s="8"/>
    </row>
    <row r="12" spans="1:21" x14ac:dyDescent="0.25">
      <c r="A12" s="8" t="s">
        <v>9</v>
      </c>
      <c r="B12" s="8"/>
      <c r="C12" s="8"/>
      <c r="D12" s="8"/>
      <c r="E12" s="8"/>
      <c r="F12" s="8"/>
      <c r="G12" s="8"/>
      <c r="H12" s="8"/>
      <c r="I12" s="8"/>
      <c r="J12" s="21"/>
      <c r="K12" s="21"/>
      <c r="L12" s="18"/>
      <c r="M12" s="18"/>
      <c r="N12" s="18"/>
      <c r="O12" s="18"/>
      <c r="P12" s="8"/>
      <c r="Q12" s="8"/>
      <c r="R12" s="8"/>
      <c r="S12" s="8"/>
      <c r="T12" s="8"/>
      <c r="U12" s="8"/>
    </row>
    <row r="13" spans="1:21" x14ac:dyDescent="0.25">
      <c r="A13" s="8" t="s">
        <v>10</v>
      </c>
      <c r="B13" s="8"/>
      <c r="C13" s="8"/>
      <c r="D13" s="8"/>
      <c r="E13" s="8"/>
      <c r="F13" s="8"/>
      <c r="G13" s="8"/>
      <c r="H13" s="8"/>
      <c r="I13" s="8"/>
      <c r="J13" s="11"/>
      <c r="K13" s="11"/>
      <c r="L13" s="19"/>
      <c r="M13" s="19"/>
      <c r="N13" s="19"/>
      <c r="O13" s="19"/>
      <c r="P13" s="8"/>
      <c r="Q13" s="8"/>
      <c r="R13" s="8"/>
      <c r="S13" s="8"/>
      <c r="T13" s="8"/>
      <c r="U13" s="8"/>
    </row>
    <row r="14" spans="1:21" x14ac:dyDescent="0.25">
      <c r="A14" s="8" t="s">
        <v>11</v>
      </c>
      <c r="B14" s="8"/>
      <c r="C14" s="8"/>
      <c r="D14" s="8"/>
      <c r="E14" s="8"/>
      <c r="F14" s="8"/>
      <c r="G14" s="8"/>
      <c r="H14" s="8"/>
      <c r="I14" s="8"/>
      <c r="J14" s="21"/>
      <c r="K14" s="21"/>
      <c r="L14" s="18"/>
      <c r="M14" s="18"/>
      <c r="N14" s="18"/>
      <c r="O14" s="18"/>
      <c r="P14" s="8"/>
      <c r="Q14" s="8"/>
      <c r="R14" s="8"/>
      <c r="S14" s="8"/>
      <c r="T14" s="8"/>
      <c r="U14" s="8"/>
    </row>
    <row r="15" spans="1:21" x14ac:dyDescent="0.25">
      <c r="A15" s="8" t="s">
        <v>12</v>
      </c>
      <c r="B15" s="8"/>
      <c r="C15" s="8"/>
      <c r="D15" s="8"/>
      <c r="E15" s="8"/>
      <c r="F15" s="8"/>
      <c r="G15" s="8"/>
      <c r="H15" s="8"/>
      <c r="I15" s="8"/>
      <c r="J15" s="21"/>
      <c r="K15" s="21"/>
      <c r="L15" s="18"/>
      <c r="M15" s="18"/>
      <c r="N15" s="18"/>
      <c r="O15" s="18"/>
      <c r="P15" s="8"/>
      <c r="Q15" s="8"/>
      <c r="R15" s="8"/>
      <c r="S15" s="8"/>
      <c r="T15" s="8"/>
      <c r="U15" s="8"/>
    </row>
    <row r="16" spans="1:21" x14ac:dyDescent="0.25">
      <c r="A16" s="8" t="s">
        <v>13</v>
      </c>
      <c r="B16" s="8"/>
      <c r="C16" s="8"/>
      <c r="D16" s="8"/>
      <c r="E16" s="8"/>
      <c r="F16" s="8"/>
      <c r="G16" s="8"/>
      <c r="H16" s="8"/>
      <c r="I16" s="8"/>
      <c r="J16" s="21"/>
      <c r="K16" s="21"/>
      <c r="L16" s="18"/>
      <c r="M16" s="18"/>
      <c r="N16" s="18"/>
      <c r="O16" s="18"/>
      <c r="P16" s="8"/>
      <c r="Q16" s="8"/>
      <c r="R16" s="8"/>
      <c r="S16" s="8"/>
      <c r="T16" s="8"/>
      <c r="U16" s="8"/>
    </row>
    <row r="17" spans="1:21" x14ac:dyDescent="0.25">
      <c r="A17" s="8" t="s">
        <v>34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x14ac:dyDescent="0.25">
      <c r="A19" s="10" t="s">
        <v>35</v>
      </c>
      <c r="B19" s="1" t="s">
        <v>14</v>
      </c>
      <c r="C19" s="1" t="s">
        <v>15</v>
      </c>
      <c r="D19" s="1" t="s">
        <v>16</v>
      </c>
      <c r="E19" s="1" t="s">
        <v>17</v>
      </c>
      <c r="F19" s="4" t="s">
        <v>18</v>
      </c>
      <c r="G19" s="4" t="s">
        <v>19</v>
      </c>
      <c r="H19" s="4" t="s">
        <v>20</v>
      </c>
      <c r="I19" s="4" t="s">
        <v>21</v>
      </c>
      <c r="J19" s="5" t="s">
        <v>22</v>
      </c>
      <c r="K19" s="5" t="s">
        <v>23</v>
      </c>
      <c r="L19" s="5" t="s">
        <v>24</v>
      </c>
      <c r="M19" s="5" t="s">
        <v>25</v>
      </c>
      <c r="N19" s="1" t="s">
        <v>26</v>
      </c>
      <c r="O19" s="1" t="s">
        <v>27</v>
      </c>
      <c r="P19" s="1" t="s">
        <v>28</v>
      </c>
      <c r="Q19" s="1" t="s">
        <v>29</v>
      </c>
      <c r="R19" s="4" t="s">
        <v>30</v>
      </c>
      <c r="S19" s="4" t="s">
        <v>31</v>
      </c>
      <c r="T19" s="4" t="s">
        <v>32</v>
      </c>
      <c r="U19" s="4" t="s">
        <v>33</v>
      </c>
    </row>
    <row r="20" spans="1:21" x14ac:dyDescent="0.25">
      <c r="A20" s="8" t="s">
        <v>36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18"/>
      <c r="M20" s="18"/>
      <c r="N20" s="18"/>
      <c r="O20" s="18"/>
      <c r="P20" s="8"/>
      <c r="Q20" s="8"/>
      <c r="R20" s="8"/>
      <c r="S20" s="8"/>
      <c r="T20" s="8"/>
      <c r="U20" s="8"/>
    </row>
    <row r="21" spans="1:21" x14ac:dyDescent="0.25">
      <c r="A21" s="8" t="s">
        <v>37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18"/>
      <c r="M21" s="18"/>
      <c r="N21" s="18"/>
      <c r="O21" s="18"/>
      <c r="P21" s="8"/>
      <c r="Q21" s="8"/>
      <c r="R21" s="8"/>
      <c r="S21" s="8"/>
      <c r="T21" s="8"/>
      <c r="U21" s="8"/>
    </row>
    <row r="22" spans="1:21" x14ac:dyDescent="0.25">
      <c r="A22" s="8" t="s">
        <v>38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18"/>
      <c r="M22" s="18"/>
      <c r="N22" s="18"/>
      <c r="O22" s="18"/>
      <c r="P22" s="8"/>
      <c r="Q22" s="8"/>
      <c r="R22" s="8"/>
      <c r="S22" s="8"/>
      <c r="T22" s="8"/>
      <c r="U22" s="8"/>
    </row>
    <row r="23" spans="1:21" x14ac:dyDescent="0.25">
      <c r="A23" s="8" t="s">
        <v>39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19"/>
      <c r="M23" s="18"/>
      <c r="N23" s="19"/>
      <c r="O23" s="18"/>
      <c r="P23" s="8"/>
      <c r="Q23" s="8"/>
      <c r="R23" s="8"/>
      <c r="S23" s="8"/>
      <c r="T23" s="8"/>
      <c r="U23" s="8"/>
    </row>
    <row r="24" spans="1:21" x14ac:dyDescent="0.25">
      <c r="A24" s="8" t="s">
        <v>40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18"/>
      <c r="M24" s="18"/>
      <c r="N24" s="18"/>
      <c r="O24" s="18"/>
      <c r="P24" s="8"/>
      <c r="Q24" s="8"/>
      <c r="R24" s="8"/>
      <c r="S24" s="8"/>
      <c r="T24" s="8"/>
      <c r="U24" s="8"/>
    </row>
    <row r="25" spans="1:21" x14ac:dyDescent="0.25">
      <c r="A25" s="8" t="s">
        <v>41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18"/>
      <c r="M25" s="18"/>
      <c r="N25" s="18"/>
      <c r="O25" s="18"/>
      <c r="P25" s="8"/>
      <c r="Q25" s="8"/>
      <c r="R25" s="8"/>
      <c r="S25" s="8"/>
      <c r="T25" s="8"/>
      <c r="U25" s="8"/>
    </row>
    <row r="26" spans="1:21" x14ac:dyDescent="0.25">
      <c r="A26" s="8" t="s">
        <v>42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18"/>
      <c r="M26" s="18"/>
      <c r="N26" s="18"/>
      <c r="O26" s="18"/>
      <c r="P26" s="8"/>
      <c r="Q26" s="8"/>
      <c r="R26" s="8"/>
      <c r="S26" s="8"/>
      <c r="T26" s="8"/>
      <c r="U26" s="8"/>
    </row>
    <row r="27" spans="1:21" x14ac:dyDescent="0.25">
      <c r="A27" s="8" t="s">
        <v>43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18"/>
      <c r="M27" s="18"/>
      <c r="N27" s="18"/>
      <c r="O27" s="18"/>
      <c r="P27" s="8"/>
      <c r="Q27" s="8"/>
      <c r="R27" s="8"/>
      <c r="S27" s="8"/>
      <c r="T27" s="8"/>
      <c r="U27" s="8"/>
    </row>
    <row r="28" spans="1:21" x14ac:dyDescent="0.25">
      <c r="A28" s="8" t="s">
        <v>44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18"/>
      <c r="M28" s="18"/>
      <c r="N28" s="18"/>
      <c r="O28" s="18"/>
      <c r="P28" s="8"/>
      <c r="Q28" s="8"/>
      <c r="R28" s="8"/>
      <c r="S28" s="8"/>
      <c r="T28" s="8"/>
      <c r="U28" s="8"/>
    </row>
    <row r="29" spans="1:21" x14ac:dyDescent="0.25">
      <c r="A29" s="8" t="s">
        <v>45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18"/>
      <c r="M29" s="18"/>
      <c r="N29" s="18"/>
      <c r="O29" s="18"/>
      <c r="P29" s="8"/>
      <c r="Q29" s="8"/>
      <c r="R29" s="8"/>
      <c r="S29" s="8"/>
      <c r="T29" s="8"/>
      <c r="U29" s="8"/>
    </row>
    <row r="30" spans="1:21" x14ac:dyDescent="0.25">
      <c r="A30" s="8" t="s">
        <v>46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18"/>
      <c r="M30" s="19"/>
      <c r="N30" s="18"/>
      <c r="O30" s="18"/>
      <c r="P30" s="8"/>
      <c r="Q30" s="8"/>
      <c r="R30" s="8"/>
      <c r="S30" s="8"/>
      <c r="T30" s="8"/>
      <c r="U30" s="8"/>
    </row>
    <row r="31" spans="1:21" x14ac:dyDescent="0.25">
      <c r="A31" s="8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18"/>
      <c r="M31" s="18"/>
      <c r="N31" s="18"/>
      <c r="O31" s="18"/>
      <c r="P31" s="8"/>
      <c r="Q31" s="8"/>
      <c r="R31" s="8"/>
      <c r="S31" s="8"/>
      <c r="T31" s="8"/>
      <c r="U31" s="8"/>
    </row>
    <row r="32" spans="1:21" x14ac:dyDescent="0.25">
      <c r="A32" s="8" t="s">
        <v>48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3" sqref="F13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3"/>
  <sheetViews>
    <sheetView workbookViewId="0">
      <pane xSplit="1" ySplit="1" topLeftCell="B8" activePane="bottomRight" state="frozenSplit"/>
      <selection pane="topRight" activeCell="B1" sqref="B1"/>
      <selection pane="bottomLeft" activeCell="A2" sqref="A2"/>
      <selection pane="bottomRight" activeCell="K1" sqref="K1:N1"/>
    </sheetView>
  </sheetViews>
  <sheetFormatPr defaultRowHeight="15" x14ac:dyDescent="0.25"/>
  <cols>
    <col min="1" max="1" width="7.7109375" style="60" bestFit="1" customWidth="1"/>
    <col min="2" max="2" width="8.28515625" style="60" bestFit="1" customWidth="1"/>
    <col min="3" max="3" width="5.7109375" style="60" bestFit="1" customWidth="1"/>
    <col min="4" max="4" width="15.28515625" style="55" bestFit="1" customWidth="1"/>
    <col min="5" max="5" width="16.140625" bestFit="1" customWidth="1"/>
    <col min="6" max="6" width="16.28515625" style="66" bestFit="1" customWidth="1"/>
    <col min="7" max="7" width="12" style="8" bestFit="1" customWidth="1"/>
    <col min="8" max="8" width="12.7109375" style="8" bestFit="1" customWidth="1"/>
    <col min="9" max="9" width="12" style="8" bestFit="1" customWidth="1"/>
    <col min="10" max="10" width="17.5703125" style="8" bestFit="1" customWidth="1"/>
    <col min="11" max="11" width="6.7109375" bestFit="1" customWidth="1"/>
    <col min="12" max="13" width="6" bestFit="1" customWidth="1"/>
    <col min="14" max="14" width="6.5703125" style="8" bestFit="1" customWidth="1"/>
    <col min="15" max="15" width="6.7109375" style="8" bestFit="1" customWidth="1"/>
    <col min="16" max="16" width="6.7109375" style="8" customWidth="1"/>
    <col min="17" max="17" width="6.7109375" bestFit="1" customWidth="1"/>
    <col min="18" max="18" width="7.5703125" style="8" bestFit="1" customWidth="1"/>
    <col min="19" max="19" width="6.5703125" bestFit="1" customWidth="1"/>
    <col min="20" max="20" width="4.5703125" bestFit="1" customWidth="1"/>
    <col min="21" max="21" width="4.85546875" bestFit="1" customWidth="1"/>
    <col min="22" max="22" width="5.5703125" bestFit="1" customWidth="1"/>
    <col min="24" max="24" width="12.140625" bestFit="1" customWidth="1"/>
    <col min="25" max="25" width="6.5703125" bestFit="1" customWidth="1"/>
    <col min="26" max="26" width="11" bestFit="1" customWidth="1"/>
  </cols>
  <sheetData>
    <row r="1" spans="1:31" x14ac:dyDescent="0.25">
      <c r="A1" s="60" t="s">
        <v>84</v>
      </c>
      <c r="B1" s="60" t="s">
        <v>94</v>
      </c>
      <c r="C1" s="60" t="s">
        <v>128</v>
      </c>
      <c r="D1" s="54" t="s">
        <v>79</v>
      </c>
      <c r="E1" s="45" t="s">
        <v>92</v>
      </c>
      <c r="F1" s="65" t="s">
        <v>7</v>
      </c>
      <c r="G1" s="45" t="s">
        <v>47</v>
      </c>
      <c r="H1" s="45" t="s">
        <v>130</v>
      </c>
      <c r="I1" s="45" t="s">
        <v>93</v>
      </c>
      <c r="J1" s="45" t="s">
        <v>139</v>
      </c>
      <c r="K1" s="60" t="s">
        <v>80</v>
      </c>
      <c r="L1" s="60" t="s">
        <v>81</v>
      </c>
      <c r="M1" s="60" t="s">
        <v>82</v>
      </c>
      <c r="N1" s="60" t="s">
        <v>145</v>
      </c>
      <c r="O1" s="45" t="s">
        <v>129</v>
      </c>
      <c r="P1" s="45" t="s">
        <v>141</v>
      </c>
      <c r="Q1" s="45" t="s">
        <v>83</v>
      </c>
      <c r="R1" s="45" t="s">
        <v>140</v>
      </c>
      <c r="S1" s="45" t="s">
        <v>89</v>
      </c>
      <c r="T1" s="45" t="s">
        <v>85</v>
      </c>
      <c r="U1" s="45" t="s">
        <v>86</v>
      </c>
      <c r="V1" s="45" t="s">
        <v>138</v>
      </c>
      <c r="W1" s="45" t="s">
        <v>132</v>
      </c>
      <c r="X1" s="45" t="s">
        <v>144</v>
      </c>
      <c r="Y1" s="45" t="s">
        <v>89</v>
      </c>
      <c r="Z1" s="45" t="s">
        <v>143</v>
      </c>
    </row>
    <row r="2" spans="1:31" x14ac:dyDescent="0.25">
      <c r="A2" s="60">
        <f>STC!B2</f>
        <v>200801</v>
      </c>
      <c r="B2" s="60">
        <v>1</v>
      </c>
      <c r="C2" s="60" t="s">
        <v>95</v>
      </c>
      <c r="D2" s="55">
        <f>(STC!B42+'MTC Zain'!B42+'Etihad Atheeb'!B43+'Etihad Etisalat (mobily)'!B42)*1000</f>
        <v>7299726000</v>
      </c>
      <c r="E2" s="9">
        <f>(STC!B25+'MTC Zain'!B25+'Etihad Atheeb'!B26+'Etihad Etisalat (mobily)'!B25)*1000</f>
        <v>1069591000</v>
      </c>
      <c r="F2" s="55">
        <f>(STC!B10+'MTC Zain'!B10+'Etihad Atheeb'!B11+'Etihad Etisalat (mobily)'!B10)*1000</f>
        <v>136790371000</v>
      </c>
      <c r="G2" s="62">
        <f>(STC!B32+'MTC Zain'!B32+'Etihad Atheeb'!B33+'Etihad Etisalat (mobily)'!B32)*1000</f>
        <v>2669701000</v>
      </c>
      <c r="H2" s="145">
        <f>(STC!B$9+'MTC Zain'!B$9+'Etihad Etisalat (mobily)'!B$9+'Etihad Atheeb'!B$9)*1000</f>
        <v>2723552000</v>
      </c>
      <c r="I2" s="8">
        <f>(STC!B14+'MTC Zain'!B14+'Etihad Atheeb'!B15+'Etihad Etisalat (mobily)'!B14)*1000</f>
        <v>72158691000</v>
      </c>
      <c r="J2" s="73">
        <f>F2-H2</f>
        <v>134066819000</v>
      </c>
      <c r="K2" s="61">
        <f>D2/E2</f>
        <v>6.82478255707088</v>
      </c>
      <c r="L2" s="61">
        <f>D2/(J2)</f>
        <v>5.4448416501923565E-2</v>
      </c>
      <c r="M2" s="61">
        <f t="shared" ref="M2:M33" si="0">(D2-E2)/D2</f>
        <v>0.85347518523297994</v>
      </c>
      <c r="N2" s="61">
        <f>D2/H2</f>
        <v>2.6802227385414343</v>
      </c>
      <c r="O2" s="61">
        <f>K2+L2</f>
        <v>6.8792309735728034</v>
      </c>
      <c r="P2" s="61">
        <f>K2+M2+N2</f>
        <v>10.358480480845294</v>
      </c>
      <c r="Q2" s="61">
        <f>SUM(K2:M2)</f>
        <v>7.732706158805783</v>
      </c>
      <c r="R2" s="61">
        <f>SUM(K2:N2)</f>
        <v>10.412928897347218</v>
      </c>
      <c r="S2" s="53">
        <f>ARPU!F2</f>
        <v>193.00876666666667</v>
      </c>
      <c r="T2" s="53">
        <f>G2/I2</f>
        <v>3.6997636223750234E-2</v>
      </c>
      <c r="U2" s="53">
        <f>G2/F2</f>
        <v>1.9516731919675838E-2</v>
      </c>
      <c r="V2" s="53">
        <f>AVERAGE(STC!B$53,'MTC Zain'!B$53,'Etihad Etisalat (mobily)'!B$53)</f>
        <v>17.490617719736026</v>
      </c>
      <c r="W2" s="53">
        <f>AVERAGE(STC!B$51,'MTC Zain'!B$51,'Etihad Etisalat (mobily)'!B$51)</f>
        <v>0.4520048378246117</v>
      </c>
      <c r="X2" s="61">
        <f t="shared" ref="X2:X13" si="1">10.06+(3.553*V2)-(20.442*W2)+(3.892*K2)+(16.527*N2)+(1028*L2)</f>
        <v>189.79534893938296</v>
      </c>
      <c r="Y2" s="53">
        <v>193.00876666666667</v>
      </c>
      <c r="Z2" s="149">
        <f>CORREL(S2:S33,X2:X33)</f>
        <v>0.88677610656713124</v>
      </c>
      <c r="AA2" s="149">
        <f>10.06+(0.145*V2)-(0.047*W2)+(0.193*K2)+(0.337*N2)+(0.55*L2)</f>
        <v>14.825260067463169</v>
      </c>
    </row>
    <row r="3" spans="1:31" x14ac:dyDescent="0.25">
      <c r="A3" s="60">
        <v>200802</v>
      </c>
      <c r="B3" s="60">
        <v>2</v>
      </c>
      <c r="C3" s="60" t="s">
        <v>96</v>
      </c>
      <c r="D3" s="64">
        <f>(STC!C42+'MTC Zain'!C42+'Etihad Atheeb'!C43+'Etihad Etisalat (mobily)'!C42)*1000</f>
        <v>8550690000</v>
      </c>
      <c r="E3" s="64">
        <f>(STC!C25+'MTC Zain'!C25+'Etihad Atheeb'!C26+'Etihad Etisalat (mobily)'!C25)*1000</f>
        <v>886459000</v>
      </c>
      <c r="F3" s="64">
        <f>(STC!C10+'MTC Zain'!C10+'Etihad Atheeb'!C11+'Etihad Etisalat (mobily)'!C10)*1000</f>
        <v>173223243000</v>
      </c>
      <c r="G3" s="63">
        <f>(STC!C32+'MTC Zain'!C32+'Etihad Atheeb'!C33+'Etihad Etisalat (mobily)'!C32)*1000</f>
        <v>3999037000</v>
      </c>
      <c r="H3" s="145">
        <f>(STC!F$9+'MTC Zain'!F$9+'Etihad Etisalat (mobily)'!F$9+'Etihad Atheeb'!F$9)*1000</f>
        <v>4599704000</v>
      </c>
      <c r="I3" s="63">
        <f>(STC!C14+'MTC Zain'!C14+'Etihad Atheeb'!C15+'Etihad Etisalat (mobily)'!C14)*1000</f>
        <v>74423724000</v>
      </c>
      <c r="J3" s="73">
        <f t="shared" ref="J3:J33" si="2">F3-H3</f>
        <v>168623539000</v>
      </c>
      <c r="K3" s="61">
        <f>D3/E3</f>
        <v>9.6458945083754575</v>
      </c>
      <c r="L3" s="61">
        <f t="shared" ref="L3:L33" si="3">D3/(J3)</f>
        <v>5.0708756622644478E-2</v>
      </c>
      <c r="M3" s="61">
        <f t="shared" si="0"/>
        <v>0.89632895123083633</v>
      </c>
      <c r="N3" s="61">
        <f t="shared" ref="N3:N33" si="4">D3/H3</f>
        <v>1.8589652725479726</v>
      </c>
      <c r="O3" s="61">
        <f t="shared" ref="O3:O7" si="5">K3+L3</f>
        <v>9.6966032649981013</v>
      </c>
      <c r="P3" s="61">
        <f t="shared" ref="P3:P33" si="6">K3+M3+N3</f>
        <v>12.401188732154267</v>
      </c>
      <c r="Q3" s="61">
        <f t="shared" ref="Q3:Q33" si="7">SUM(K3:M3)</f>
        <v>10.592932216228938</v>
      </c>
      <c r="R3" s="61">
        <f t="shared" ref="R3:R33" si="8">SUM(K3:N3)</f>
        <v>12.451897488776911</v>
      </c>
      <c r="S3" s="53">
        <f>ARPU!F3</f>
        <v>215.02371875</v>
      </c>
      <c r="T3" s="53">
        <f t="shared" ref="T3:T9" si="9">G3/I3</f>
        <v>5.3733363302271735E-2</v>
      </c>
      <c r="U3" s="53">
        <f t="shared" ref="U3:U9" si="10">G3/F3</f>
        <v>2.3086030088929808E-2</v>
      </c>
      <c r="V3" s="53">
        <f>AVERAGE(STC!C$53,'MTC Zain'!C$53,'Etihad Etisalat (mobily)'!C$53)</f>
        <v>17.590823971882799</v>
      </c>
      <c r="W3" s="53">
        <f>AVERAGE(STC!C$51,'MTC Zain'!C$51,'Etihad Etisalat (mobily)'!C$51)</f>
        <v>0.54478102659385563</v>
      </c>
      <c r="X3" s="61">
        <f t="shared" si="1"/>
        <v>181.81732612054412</v>
      </c>
      <c r="Y3" s="53">
        <v>215.02371875</v>
      </c>
      <c r="Z3" s="61"/>
      <c r="AC3" s="8"/>
      <c r="AD3" s="8"/>
      <c r="AE3" s="8"/>
    </row>
    <row r="4" spans="1:31" x14ac:dyDescent="0.25">
      <c r="A4" s="60">
        <v>200803</v>
      </c>
      <c r="B4" s="60">
        <v>3</v>
      </c>
      <c r="C4" s="60" t="s">
        <v>97</v>
      </c>
      <c r="D4" s="64">
        <f>(STC!D42+'MTC Zain'!D42+'Etihad Atheeb'!D43+'Etihad Etisalat (mobily)'!D42)*1000</f>
        <v>8920438000</v>
      </c>
      <c r="E4" s="64">
        <f>(STC!D25+'MTC Zain'!D25+'Etihad Atheeb'!D26+'Etihad Etisalat (mobily)'!D25)*1000</f>
        <v>1055043000</v>
      </c>
      <c r="F4" s="64">
        <f>(STC!D10+'MTC Zain'!D10+'Etihad Atheeb'!D11+'Etihad Etisalat (mobily)'!D10)*1000</f>
        <v>175942539000</v>
      </c>
      <c r="G4" s="63">
        <f>(STC!D32+'MTC Zain'!D32+'Etihad Atheeb'!D33+'Etihad Etisalat (mobily)'!D32)*1000</f>
        <v>2850820000</v>
      </c>
      <c r="H4" s="145">
        <f>(STC!D$9+'MTC Zain'!D$9+'Etihad Etisalat (mobily)'!D$9+'Etihad Atheeb'!D$9)*1000</f>
        <v>2880829000</v>
      </c>
      <c r="I4" s="63">
        <f>(STC!D14+'MTC Zain'!D14+'Etihad Atheeb'!D15+'Etihad Etisalat (mobily)'!D14)*1000</f>
        <v>74794352000</v>
      </c>
      <c r="J4" s="73">
        <f t="shared" si="2"/>
        <v>173061710000</v>
      </c>
      <c r="K4" s="61">
        <f t="shared" ref="K4:K10" si="11">D4/E4</f>
        <v>8.4550468559101386</v>
      </c>
      <c r="L4" s="61">
        <f t="shared" si="3"/>
        <v>5.1544839121259116E-2</v>
      </c>
      <c r="M4" s="61">
        <f t="shared" si="0"/>
        <v>0.88172744432504324</v>
      </c>
      <c r="N4" s="61">
        <f t="shared" si="4"/>
        <v>3.0964829915277861</v>
      </c>
      <c r="O4" s="61">
        <f t="shared" si="5"/>
        <v>8.506591695031398</v>
      </c>
      <c r="P4" s="61">
        <f t="shared" si="6"/>
        <v>12.433257291762969</v>
      </c>
      <c r="Q4" s="61">
        <f t="shared" si="7"/>
        <v>9.388319139356442</v>
      </c>
      <c r="R4" s="61">
        <f t="shared" si="8"/>
        <v>12.484802130884228</v>
      </c>
      <c r="S4" s="53">
        <f>ARPU!F4</f>
        <v>210.93005882352941</v>
      </c>
      <c r="T4" s="53">
        <f t="shared" si="9"/>
        <v>3.811544486674609E-2</v>
      </c>
      <c r="U4" s="53">
        <f t="shared" si="10"/>
        <v>1.6203130955158036E-2</v>
      </c>
      <c r="V4" s="53">
        <f>AVERAGE(STC!D$53,'MTC Zain'!D$53,'Etihad Etisalat (mobily)'!D$53)</f>
        <v>17.941377487421626</v>
      </c>
      <c r="W4" s="53">
        <f>AVERAGE(STC!D$51,'MTC Zain'!D$51,'Etihad Etisalat (mobily)'!D$51)</f>
        <v>0.50558860712116771</v>
      </c>
      <c r="X4" s="61">
        <f t="shared" si="1"/>
        <v>200.54118328687446</v>
      </c>
      <c r="Y4" s="53">
        <v>210.93005882352941</v>
      </c>
      <c r="Z4" s="61"/>
    </row>
    <row r="5" spans="1:31" x14ac:dyDescent="0.25">
      <c r="A5" s="60">
        <v>200804</v>
      </c>
      <c r="B5" s="60">
        <v>4</v>
      </c>
      <c r="C5" s="60" t="s">
        <v>98</v>
      </c>
      <c r="D5" s="64">
        <f>(STC!E42+'MTC Zain'!E42+'Etihad Atheeb'!E43+'Etihad Etisalat (mobily)'!E42)*1000</f>
        <v>6990327000</v>
      </c>
      <c r="E5" s="64">
        <f>(STC!E25+'MTC Zain'!E25+'Etihad Atheeb'!E26+'Etihad Etisalat (mobily)'!E25)*1000</f>
        <v>1189966000</v>
      </c>
      <c r="F5" s="64">
        <f>(STC!E10+'MTC Zain'!E10+'Etihad Atheeb'!E11+'Etihad Etisalat (mobily)'!E10)*1000</f>
        <v>174996723000</v>
      </c>
      <c r="G5" s="63">
        <f>(STC!E32+'MTC Zain'!E32+'Etihad Atheeb'!E33+'Etihad Etisalat (mobily)'!E32)*1000</f>
        <v>933311000</v>
      </c>
      <c r="H5" s="145">
        <f>(STC!E$9+'MTC Zain'!E$9+'Etihad Etisalat (mobily)'!E$9+'Etihad Atheeb'!E$9)*1000</f>
        <v>4639422000</v>
      </c>
      <c r="I5" s="63">
        <f>(STC!E14+'MTC Zain'!E14+'Etihad Atheeb'!E15+'Etihad Etisalat (mobily)'!E14)*1000</f>
        <v>73365322000</v>
      </c>
      <c r="J5" s="73">
        <f t="shared" si="2"/>
        <v>170357301000</v>
      </c>
      <c r="K5" s="61">
        <f t="shared" si="11"/>
        <v>5.8743922095253138</v>
      </c>
      <c r="L5" s="61">
        <f t="shared" si="3"/>
        <v>4.1033327946420096E-2</v>
      </c>
      <c r="M5" s="61">
        <f t="shared" si="0"/>
        <v>0.82976962308057978</v>
      </c>
      <c r="N5" s="61">
        <f t="shared" si="4"/>
        <v>1.5067236823897459</v>
      </c>
      <c r="O5" s="61">
        <f t="shared" si="5"/>
        <v>5.9154255374717337</v>
      </c>
      <c r="P5" s="61">
        <f t="shared" si="6"/>
        <v>8.2108855149956401</v>
      </c>
      <c r="Q5" s="61">
        <f t="shared" si="7"/>
        <v>6.7451951605523135</v>
      </c>
      <c r="R5" s="61">
        <f t="shared" si="8"/>
        <v>8.2519188429420591</v>
      </c>
      <c r="S5" s="53">
        <f>ARPU!F5</f>
        <v>145.39638888888888</v>
      </c>
      <c r="T5" s="53">
        <f t="shared" si="9"/>
        <v>1.2721418983208443E-2</v>
      </c>
      <c r="U5" s="53">
        <f t="shared" si="10"/>
        <v>5.333305584242283E-3</v>
      </c>
      <c r="V5" s="53">
        <f>AVERAGE(STC!E$53,'MTC Zain'!E$53,'Etihad Etisalat (mobily)'!E$53)</f>
        <v>16.837639898993096</v>
      </c>
      <c r="W5" s="53">
        <f>AVERAGE(STC!E$51,'MTC Zain'!E$51,'Etihad Etisalat (mobily)'!E$51)</f>
        <v>0.51251948981292783</v>
      </c>
      <c r="X5" s="61">
        <f t="shared" si="1"/>
        <v>149.3542290576143</v>
      </c>
      <c r="Y5" s="53">
        <v>145.39638888888888</v>
      </c>
      <c r="Z5" s="61"/>
    </row>
    <row r="6" spans="1:31" x14ac:dyDescent="0.25">
      <c r="A6" s="60">
        <f>ARPU!C6</f>
        <v>200901</v>
      </c>
      <c r="B6" s="60">
        <v>5</v>
      </c>
      <c r="C6" s="60" t="s">
        <v>99</v>
      </c>
      <c r="D6" s="64">
        <f>(STC!F42+'MTC Zain'!F42+'Etihad Atheeb'!F43+'Etihad Etisalat (mobily)'!F42)*1000</f>
        <v>8439875000</v>
      </c>
      <c r="E6" s="64">
        <f>(STC!F25+'MTC Zain'!F25+'Etihad Atheeb'!F26+'Etihad Etisalat (mobily)'!F25)*1000</f>
        <v>1141472000</v>
      </c>
      <c r="F6" s="64">
        <f>(STC!F10+'MTC Zain'!F10+'Etihad Atheeb'!F11+'Etihad Etisalat (mobily)'!F10)*1000</f>
        <v>179776425000</v>
      </c>
      <c r="G6" s="63">
        <f>(STC!F32+'MTC Zain'!F32+'Etihad Atheeb'!F33+'Etihad Etisalat (mobily)'!F32)*1000</f>
        <v>2248963000</v>
      </c>
      <c r="H6" s="145">
        <f>(STC!F$9+'MTC Zain'!F$9+'Etihad Etisalat (mobily)'!F$9+'Etihad Atheeb'!F$9)*1000</f>
        <v>4599704000</v>
      </c>
      <c r="I6" s="63">
        <f>(STC!F14+'MTC Zain'!F14+'Etihad Atheeb'!F15+'Etihad Etisalat (mobily)'!F14)*1000</f>
        <v>72994383000</v>
      </c>
      <c r="J6" s="73">
        <f t="shared" si="2"/>
        <v>175176721000</v>
      </c>
      <c r="K6" s="61">
        <f t="shared" si="11"/>
        <v>7.3938519735919934</v>
      </c>
      <c r="L6" s="61">
        <f t="shared" si="3"/>
        <v>4.817920413066757E-2</v>
      </c>
      <c r="M6" s="61">
        <f t="shared" si="0"/>
        <v>0.86475249929649434</v>
      </c>
      <c r="N6" s="61">
        <f t="shared" si="4"/>
        <v>1.8348735049037939</v>
      </c>
      <c r="O6" s="61">
        <f t="shared" si="5"/>
        <v>7.4420311777226607</v>
      </c>
      <c r="P6" s="61">
        <f t="shared" si="6"/>
        <v>10.093477977792281</v>
      </c>
      <c r="Q6" s="61">
        <f t="shared" si="7"/>
        <v>8.3067836770191548</v>
      </c>
      <c r="R6" s="61">
        <f t="shared" si="8"/>
        <v>10.141657181922948</v>
      </c>
      <c r="S6" s="53">
        <f>ARPU!F6</f>
        <v>169.66080213903743</v>
      </c>
      <c r="T6" s="53">
        <f t="shared" si="9"/>
        <v>3.0810083016935701E-2</v>
      </c>
      <c r="U6" s="53">
        <f t="shared" si="10"/>
        <v>1.2509777074496837E-2</v>
      </c>
      <c r="V6" s="53">
        <f>AVERAGE(STC!F$53,'MTC Zain'!F$53,'Etihad Etisalat (mobily)'!F$53)</f>
        <v>17.239952557685221</v>
      </c>
      <c r="W6" s="53">
        <f>AVERAGE(STC!F$51,'MTC Zain'!F$51,'Etihad Etisalat (mobily)'!F$51)</f>
        <v>0.52180253660049924</v>
      </c>
      <c r="X6" s="61">
        <f t="shared" si="1"/>
        <v>169.27691212735948</v>
      </c>
      <c r="Y6" s="53">
        <v>169.66080213903743</v>
      </c>
      <c r="Z6" s="61"/>
    </row>
    <row r="7" spans="1:31" x14ac:dyDescent="0.25">
      <c r="A7" s="60">
        <f>ARPU!C7</f>
        <v>200902</v>
      </c>
      <c r="B7" s="60">
        <v>6</v>
      </c>
      <c r="C7" s="60" t="s">
        <v>100</v>
      </c>
      <c r="D7" s="64">
        <f>(STC!G42+'MTC Zain'!G42+'Etihad Atheeb'!G43+'Etihad Etisalat (mobily)'!G42)*1000</f>
        <v>7855660000</v>
      </c>
      <c r="E7" s="64">
        <f>(STC!G25+'MTC Zain'!G25+'Etihad Atheeb'!G26+'Etihad Etisalat (mobily)'!G25)*1000</f>
        <v>1211993000</v>
      </c>
      <c r="F7" s="64">
        <f>(STC!G10+'MTC Zain'!G10+'Etihad Atheeb'!G11+'Etihad Etisalat (mobily)'!G10)*1000</f>
        <v>180419878000</v>
      </c>
      <c r="G7" s="63">
        <f>(STC!G32+'MTC Zain'!G32+'Etihad Atheeb'!G33+'Etihad Etisalat (mobily)'!G32)*1000</f>
        <v>2779252000</v>
      </c>
      <c r="H7" s="145">
        <f>(STC!G$9+'MTC Zain'!G$9+'Etihad Etisalat (mobily)'!G$9+'Etihad Atheeb'!G$9)*1000</f>
        <v>6553903000</v>
      </c>
      <c r="I7" s="63">
        <f>(STC!G14+'MTC Zain'!G14+'Etihad Atheeb'!G15+'Etihad Etisalat (mobily)'!G14)*1000</f>
        <v>69853439000</v>
      </c>
      <c r="J7" s="73">
        <f t="shared" si="2"/>
        <v>173865975000</v>
      </c>
      <c r="K7" s="61">
        <f t="shared" si="11"/>
        <v>6.481605091778583</v>
      </c>
      <c r="L7" s="61">
        <f t="shared" si="3"/>
        <v>4.5182273299879401E-2</v>
      </c>
      <c r="M7" s="61">
        <f t="shared" si="0"/>
        <v>0.84571722808777361</v>
      </c>
      <c r="N7" s="61">
        <f t="shared" si="4"/>
        <v>1.1986231715666222</v>
      </c>
      <c r="O7" s="61">
        <f t="shared" si="5"/>
        <v>6.5267873650784622</v>
      </c>
      <c r="P7" s="61">
        <f t="shared" si="6"/>
        <v>8.525945491432978</v>
      </c>
      <c r="Q7" s="61">
        <f t="shared" si="7"/>
        <v>7.3725045931662354</v>
      </c>
      <c r="R7" s="61">
        <f t="shared" si="8"/>
        <v>8.5711277647328572</v>
      </c>
      <c r="S7" s="53">
        <f>ARPU!F7</f>
        <v>144.18974811083123</v>
      </c>
      <c r="T7" s="53">
        <f t="shared" si="9"/>
        <v>3.9786902975528518E-2</v>
      </c>
      <c r="U7" s="53">
        <f t="shared" si="10"/>
        <v>1.5404355832676042E-2</v>
      </c>
      <c r="V7" s="53">
        <f>AVERAGE(STC!G$53,'MTC Zain'!G$53,'Etihad Etisalat (mobily)'!G$53)</f>
        <v>17.741248892836769</v>
      </c>
      <c r="W7" s="53">
        <f>AVERAGE(STC!G$51,'MTC Zain'!G$51,'Etihad Etisalat (mobily)'!G$51)</f>
        <v>0.72243931175477849</v>
      </c>
      <c r="X7" s="61">
        <f t="shared" si="1"/>
        <v>149.8099820313177</v>
      </c>
      <c r="Y7" s="53">
        <v>144.18974811083123</v>
      </c>
      <c r="Z7" s="61"/>
    </row>
    <row r="8" spans="1:31" x14ac:dyDescent="0.25">
      <c r="A8" s="60">
        <f>ARPU!C8</f>
        <v>200903</v>
      </c>
      <c r="B8" s="60">
        <v>7</v>
      </c>
      <c r="C8" s="60" t="s">
        <v>101</v>
      </c>
      <c r="D8" s="64">
        <f>(STC!H42+'MTC Zain'!H42+'Etihad Atheeb'!H43+'Etihad Etisalat (mobily)'!H42)*1000</f>
        <v>7603724000</v>
      </c>
      <c r="E8" s="64">
        <f>(STC!H25+'MTC Zain'!H25+'Etihad Atheeb'!H26+'Etihad Etisalat (mobily)'!H25)*1000</f>
        <v>1187523000</v>
      </c>
      <c r="F8" s="64">
        <f>(STC!H10+'MTC Zain'!H10+'Etihad Atheeb'!H11+'Etihad Etisalat (mobily)'!H10)*1000</f>
        <v>185300354000</v>
      </c>
      <c r="G8" s="63">
        <f>(STC!H32+'MTC Zain'!H32+'Etihad Atheeb'!H33+'Etihad Etisalat (mobily)'!H32)*1000</f>
        <v>2472804000</v>
      </c>
      <c r="H8" s="145">
        <f>(STC!H$9+'MTC Zain'!H$9+'Etihad Etisalat (mobily)'!H$9+'Etihad Atheeb'!H$9)*1000</f>
        <v>6248160000</v>
      </c>
      <c r="I8" s="63">
        <f>(STC!H14+'MTC Zain'!H14+'Etihad Atheeb'!H15+'Etihad Etisalat (mobily)'!H14)*1000</f>
        <v>69474241000</v>
      </c>
      <c r="J8" s="73">
        <f t="shared" si="2"/>
        <v>179052194000</v>
      </c>
      <c r="K8" s="61">
        <f t="shared" si="11"/>
        <v>6.4030119837678932</v>
      </c>
      <c r="L8" s="61">
        <f t="shared" si="3"/>
        <v>4.2466522359396498E-2</v>
      </c>
      <c r="M8" s="61">
        <f t="shared" si="0"/>
        <v>0.84382350016912766</v>
      </c>
      <c r="N8" s="61">
        <f t="shared" si="4"/>
        <v>1.2169541112903639</v>
      </c>
      <c r="O8" s="61">
        <f>K8+M8</f>
        <v>7.246835483937021</v>
      </c>
      <c r="P8" s="61">
        <f t="shared" si="6"/>
        <v>8.4637895952273858</v>
      </c>
      <c r="Q8" s="61">
        <f t="shared" si="7"/>
        <v>7.2893020062964178</v>
      </c>
      <c r="R8" s="61">
        <f t="shared" si="8"/>
        <v>8.5062561175867817</v>
      </c>
      <c r="S8" s="53">
        <f>ARPU!F8</f>
        <v>138.15401459854016</v>
      </c>
      <c r="T8" s="53">
        <f t="shared" si="9"/>
        <v>3.5593105651920691E-2</v>
      </c>
      <c r="U8" s="53">
        <f t="shared" si="10"/>
        <v>1.3344842287781059E-2</v>
      </c>
      <c r="V8" s="53">
        <f>AVERAGE(STC!H$53,'MTC Zain'!H$53,'Etihad Etisalat (mobily)'!H$53)</f>
        <v>17.739426743466101</v>
      </c>
      <c r="W8" s="53">
        <f>AVERAGE(STC!H$51,'MTC Zain'!H$51,'Etihad Etisalat (mobily)'!H$51)</f>
        <v>0.55709962952800829</v>
      </c>
      <c r="X8" s="61">
        <f t="shared" si="1"/>
        <v>150.3886608163036</v>
      </c>
      <c r="Y8" s="53">
        <v>138.15401459854016</v>
      </c>
      <c r="Z8" s="61"/>
    </row>
    <row r="9" spans="1:31" x14ac:dyDescent="0.25">
      <c r="A9" s="60">
        <f>ARPU!C9</f>
        <v>200904</v>
      </c>
      <c r="B9" s="60">
        <v>8</v>
      </c>
      <c r="C9" s="60" t="s">
        <v>102</v>
      </c>
      <c r="D9" s="64">
        <f>(STC!I42+'MTC Zain'!I42+'Etihad Atheeb'!I43+'Etihad Etisalat (mobily)'!I42)*1000</f>
        <v>7713241000</v>
      </c>
      <c r="E9" s="64">
        <f>(STC!I25+'MTC Zain'!I25+'Etihad Atheeb'!I26+'Etihad Etisalat (mobily)'!I25)*1000</f>
        <v>1225196000</v>
      </c>
      <c r="F9" s="64">
        <f>(STC!I10+'MTC Zain'!I10+'Etihad Atheeb'!I11+'Etihad Etisalat (mobily)'!I10)*1000</f>
        <v>185884277000</v>
      </c>
      <c r="G9" s="63">
        <f>(STC!I32+'MTC Zain'!I32+'Etihad Atheeb'!I33+'Etihad Etisalat (mobily)'!I32)*1000</f>
        <v>2932138000</v>
      </c>
      <c r="H9" s="145">
        <f>(STC!I$9+'MTC Zain'!I$9+'Etihad Etisalat (mobily)'!I$9+'Etihad Atheeb'!I$9)*1000</f>
        <v>5047294000</v>
      </c>
      <c r="I9" s="63">
        <f>(STC!I14+'MTC Zain'!I14+'Etihad Atheeb'!I15+'Etihad Etisalat (mobily)'!I14)*1000</f>
        <v>68068058000</v>
      </c>
      <c r="J9" s="73">
        <f t="shared" si="2"/>
        <v>180836983000</v>
      </c>
      <c r="K9" s="61">
        <f t="shared" si="11"/>
        <v>6.2955159827488822</v>
      </c>
      <c r="L9" s="61">
        <f t="shared" si="3"/>
        <v>4.2653006437294964E-2</v>
      </c>
      <c r="M9" s="61">
        <f t="shared" si="0"/>
        <v>0.84115678480680167</v>
      </c>
      <c r="N9" s="61">
        <f t="shared" si="4"/>
        <v>1.5281933249777009</v>
      </c>
      <c r="O9" s="61">
        <f t="shared" ref="O9:O33" si="12">K9+M9</f>
        <v>7.1366727675556838</v>
      </c>
      <c r="P9" s="61">
        <f t="shared" si="6"/>
        <v>8.6648660925333854</v>
      </c>
      <c r="Q9" s="61">
        <f t="shared" si="7"/>
        <v>7.1793257739929786</v>
      </c>
      <c r="R9" s="61">
        <f t="shared" si="8"/>
        <v>8.7075190989706801</v>
      </c>
      <c r="S9" s="53">
        <f>ARPU!F9</f>
        <v>119.42511160714285</v>
      </c>
      <c r="T9" s="53">
        <f t="shared" si="9"/>
        <v>4.3076563165648125E-2</v>
      </c>
      <c r="U9" s="53">
        <f t="shared" si="10"/>
        <v>1.5773996850739561E-2</v>
      </c>
      <c r="V9" s="53">
        <f>AVERAGE(STC!I$53,'MTC Zain'!I$53,'Etihad Etisalat (mobily)'!I$53)</f>
        <v>17.633876872497087</v>
      </c>
      <c r="W9" s="53">
        <f>AVERAGE(STC!I$51,'MTC Zain'!I$51,'Etihad Etisalat (mobily)'!I$51)</f>
        <v>0.6729607130512717</v>
      </c>
      <c r="X9" s="61">
        <f t="shared" si="1"/>
        <v>152.56239153609238</v>
      </c>
      <c r="Y9" s="53">
        <v>119.42511160714285</v>
      </c>
      <c r="Z9" s="61"/>
    </row>
    <row r="10" spans="1:31" x14ac:dyDescent="0.25">
      <c r="A10" s="60">
        <f>ARPU!C10</f>
        <v>201001</v>
      </c>
      <c r="B10" s="60">
        <v>9</v>
      </c>
      <c r="C10" s="60" t="s">
        <v>126</v>
      </c>
      <c r="D10" s="64">
        <f>(STC!J42+'MTC Zain'!J42+'Etihad Atheeb'!J43+'Etihad Etisalat (mobily)'!J42)*1000</f>
        <v>11745236000</v>
      </c>
      <c r="E10" s="64">
        <f>(STC!J25+'MTC Zain'!J25+'Etihad Atheeb'!J26+'Etihad Etisalat (mobily)'!J25)*1000</f>
        <v>1310528000</v>
      </c>
      <c r="F10" s="64">
        <f>(STC!J10+'MTC Zain'!J10+'Etihad Atheeb'!J11+'Etihad Etisalat (mobily)'!J10)*1000</f>
        <v>188127349000</v>
      </c>
      <c r="G10" s="63">
        <f>(STC!J32+'MTC Zain'!J32+'Etihad Atheeb'!J33+'Etihad Etisalat (mobily)'!J32)*1000</f>
        <v>1779797000</v>
      </c>
      <c r="H10" s="145">
        <f>(STC!J$9+'MTC Zain'!J$9+'Etihad Etisalat (mobily)'!J$9+'Etihad Atheeb'!J$9)*1000</f>
        <v>4846742000</v>
      </c>
      <c r="I10" s="63">
        <f>(STC!J14+'MTC Zain'!J14+'Etihad Atheeb'!J15+'Etihad Etisalat (mobily)'!J14)*1000</f>
        <v>70308031000</v>
      </c>
      <c r="J10" s="73">
        <f t="shared" si="2"/>
        <v>183280607000</v>
      </c>
      <c r="K10" s="61">
        <f t="shared" si="11"/>
        <v>8.9622167553840892</v>
      </c>
      <c r="L10" s="61">
        <f t="shared" si="3"/>
        <v>6.4083353892427905E-2</v>
      </c>
      <c r="M10" s="61">
        <f t="shared" si="0"/>
        <v>0.8884204625603096</v>
      </c>
      <c r="N10" s="61">
        <f t="shared" si="4"/>
        <v>2.4233260198294029</v>
      </c>
      <c r="O10" s="61">
        <f t="shared" si="12"/>
        <v>9.8506372179443993</v>
      </c>
      <c r="P10" s="61">
        <f t="shared" si="6"/>
        <v>12.273963237773803</v>
      </c>
      <c r="Q10" s="61">
        <f t="shared" si="7"/>
        <v>9.9147205718368276</v>
      </c>
      <c r="R10" s="61">
        <f t="shared" si="8"/>
        <v>12.338046591666231</v>
      </c>
      <c r="S10" s="53">
        <f>ARPU!F10</f>
        <v>210.99344680851064</v>
      </c>
      <c r="T10" s="53">
        <f t="shared" ref="T10" si="13">G10/I10</f>
        <v>2.5314277397414243E-2</v>
      </c>
      <c r="U10" s="53">
        <f t="shared" ref="U10" si="14">G10/F10</f>
        <v>9.4605968215711149E-3</v>
      </c>
      <c r="V10" s="53">
        <f>AVERAGE(STC!J$53,'MTC Zain'!J$53,'Etihad Etisalat (mobily)'!J$53)</f>
        <v>17.307402602615042</v>
      </c>
      <c r="W10" s="53">
        <f>AVERAGE(STC!J$51,'MTC Zain'!J$51,'Etihad Etisalat (mobily)'!J$51)</f>
        <v>0.66408105470515721</v>
      </c>
      <c r="X10" s="61">
        <f t="shared" si="1"/>
        <v>198.7870010698997</v>
      </c>
      <c r="Y10" s="53">
        <v>210.99344680851064</v>
      </c>
      <c r="Z10" s="61"/>
    </row>
    <row r="11" spans="1:31" x14ac:dyDescent="0.25">
      <c r="A11" s="60">
        <f>ARPU!C11</f>
        <v>201002</v>
      </c>
      <c r="B11" s="60">
        <v>10</v>
      </c>
      <c r="C11" s="60" t="s">
        <v>127</v>
      </c>
      <c r="D11" s="64">
        <f>(STC!K42+'MTC Zain'!K42+'Etihad Atheeb'!K43+'Etihad Etisalat (mobily)'!K42)*1000</f>
        <v>12321285000</v>
      </c>
      <c r="E11" s="64">
        <f>(STC!K25+'MTC Zain'!K25+'Etihad Atheeb'!K26+'Etihad Etisalat (mobily)'!K25)*1000</f>
        <v>1533572000</v>
      </c>
      <c r="F11" s="64">
        <f>(STC!K10+'MTC Zain'!K10+'Etihad Atheeb'!K11+'Etihad Etisalat (mobily)'!K10)*1000</f>
        <v>186113185000</v>
      </c>
      <c r="G11" s="63">
        <f>(STC!K32+'MTC Zain'!K32+'Etihad Atheeb'!K33+'Etihad Etisalat (mobily)'!K32)*1000</f>
        <v>2407111000</v>
      </c>
      <c r="H11" s="145">
        <f>(STC!K$9+'MTC Zain'!K$9+'Etihad Etisalat (mobily)'!K$9+'Etihad Atheeb'!K$9)*1000</f>
        <v>4397117000</v>
      </c>
      <c r="I11" s="63">
        <f>(STC!K14+'MTC Zain'!K14+'Etihad Atheeb'!K15+'Etihad Etisalat (mobily)'!K14)*1000</f>
        <v>65741907000</v>
      </c>
      <c r="J11" s="73">
        <f t="shared" si="2"/>
        <v>181716068000</v>
      </c>
      <c r="K11" s="61">
        <f t="shared" ref="K11" si="15">D11/E11</f>
        <v>8.0343700850041611</v>
      </c>
      <c r="L11" s="61">
        <f t="shared" si="3"/>
        <v>6.7805148634406953E-2</v>
      </c>
      <c r="M11" s="61">
        <f t="shared" si="0"/>
        <v>0.87553473521633496</v>
      </c>
      <c r="N11" s="61">
        <f t="shared" si="4"/>
        <v>2.8021280761917411</v>
      </c>
      <c r="O11" s="61">
        <f t="shared" si="12"/>
        <v>8.9099048202204969</v>
      </c>
      <c r="P11" s="61">
        <f t="shared" si="6"/>
        <v>11.712032896412238</v>
      </c>
      <c r="Q11" s="61">
        <f t="shared" si="7"/>
        <v>8.9777099688549029</v>
      </c>
      <c r="R11" s="61">
        <f t="shared" si="8"/>
        <v>11.779838045046644</v>
      </c>
      <c r="S11" s="53">
        <f>ARPU!F11</f>
        <v>217.15944680851064</v>
      </c>
      <c r="T11" s="53">
        <f t="shared" ref="T11" si="16">G11/I11</f>
        <v>3.661456002485599E-2</v>
      </c>
      <c r="U11" s="53">
        <f t="shared" ref="U11" si="17">G11/F11</f>
        <v>1.2933586623645176E-2</v>
      </c>
      <c r="V11" s="53">
        <f>AVERAGE(STC!K$53,'MTC Zain'!K$53,'Etihad Etisalat (mobily)'!K$53)</f>
        <v>17.391929221848084</v>
      </c>
      <c r="W11" s="53">
        <f>AVERAGE(STC!K$51,'MTC Zain'!K$51,'Etihad Etisalat (mobily)'!K$51)</f>
        <v>0.6879992887298666</v>
      </c>
      <c r="X11" s="61">
        <f t="shared" si="1"/>
        <v>205.07367494723775</v>
      </c>
      <c r="Y11" s="53">
        <v>217.15944680851064</v>
      </c>
      <c r="Z11" s="61"/>
    </row>
    <row r="12" spans="1:31" x14ac:dyDescent="0.25">
      <c r="A12" s="60">
        <f>ARPU!C12</f>
        <v>201003</v>
      </c>
      <c r="B12" s="60">
        <v>11</v>
      </c>
      <c r="C12" s="60" t="s">
        <v>103</v>
      </c>
      <c r="D12" s="64">
        <f>(STC!L42+'MTC Zain'!L42+'Etihad Atheeb'!L43+'Etihad Etisalat (mobily)'!L42)*1000</f>
        <v>13050668000</v>
      </c>
      <c r="E12" s="64">
        <f>(STC!L25+'MTC Zain'!L25+'Etihad Atheeb'!L26+'Etihad Etisalat (mobily)'!L25)*1000</f>
        <v>1265371000</v>
      </c>
      <c r="F12" s="64">
        <f>(STC!L10+'MTC Zain'!L10+'Etihad Atheeb'!L11+'Etihad Etisalat (mobily)'!L10)*1000</f>
        <v>184993543000</v>
      </c>
      <c r="G12" s="63">
        <f>(STC!L32+'MTC Zain'!L32+'Etihad Atheeb'!L33+'Etihad Etisalat (mobily)'!L32)*1000</f>
        <v>4085508000</v>
      </c>
      <c r="H12" s="145">
        <f>(STC!L$9+'MTC Zain'!L$9+'Etihad Etisalat (mobily)'!L$9+'Etihad Atheeb'!L$9)*1000</f>
        <v>6108352000</v>
      </c>
      <c r="I12" s="63">
        <f>(STC!L14+'MTC Zain'!L14+'Etihad Atheeb'!L15+'Etihad Etisalat (mobily)'!L14)*1000</f>
        <v>69129575000</v>
      </c>
      <c r="J12" s="73">
        <f t="shared" si="2"/>
        <v>178885191000</v>
      </c>
      <c r="K12" s="61">
        <f>D12/E12</f>
        <v>10.31370878580274</v>
      </c>
      <c r="L12" s="61">
        <f t="shared" si="3"/>
        <v>7.2955552815995819E-2</v>
      </c>
      <c r="M12" s="61">
        <f t="shared" si="0"/>
        <v>0.90304166805867714</v>
      </c>
      <c r="N12" s="61">
        <f t="shared" si="4"/>
        <v>2.1365284777301636</v>
      </c>
      <c r="O12" s="61">
        <f t="shared" si="12"/>
        <v>11.216750453861417</v>
      </c>
      <c r="P12" s="61">
        <f t="shared" si="6"/>
        <v>13.35327893159158</v>
      </c>
      <c r="Q12" s="61">
        <f t="shared" si="7"/>
        <v>11.289706006677413</v>
      </c>
      <c r="R12" s="61">
        <f t="shared" si="8"/>
        <v>13.426234484407576</v>
      </c>
      <c r="S12" s="53">
        <f>ARPU!F12</f>
        <v>229.78911522633746</v>
      </c>
      <c r="T12" s="53">
        <f t="shared" ref="T12:T33" si="18">G12/I12</f>
        <v>5.909927842027092E-2</v>
      </c>
      <c r="U12" s="53">
        <f t="shared" ref="U12:U33" si="19">G12/F12</f>
        <v>2.2084597839179716E-2</v>
      </c>
      <c r="V12" s="53">
        <f>AVERAGE(STC!L$53,'MTC Zain'!L$53,'Etihad Etisalat (mobily)'!L$53)</f>
        <v>17.793904511379424</v>
      </c>
      <c r="W12" s="53">
        <f>AVERAGE(STC!L$51,'MTC Zain'!L$51,'Etihad Etisalat (mobily)'!L$51)</f>
        <v>0.74359808020123774</v>
      </c>
      <c r="X12" s="61">
        <f t="shared" si="1"/>
        <v>208.53077981409177</v>
      </c>
      <c r="Y12" s="53">
        <v>229.78911522633746</v>
      </c>
      <c r="Z12" s="61"/>
    </row>
    <row r="13" spans="1:31" x14ac:dyDescent="0.25">
      <c r="A13" s="60">
        <f>ARPU!C13</f>
        <v>201004</v>
      </c>
      <c r="B13" s="60">
        <v>12</v>
      </c>
      <c r="C13" s="60" t="s">
        <v>104</v>
      </c>
      <c r="D13" s="64">
        <f>(STC!M42+'MTC Zain'!M42+'Etihad Atheeb'!M43+'Etihad Etisalat (mobily)'!M42)*1000</f>
        <v>13210082000</v>
      </c>
      <c r="E13" s="64">
        <f>(STC!M25+'MTC Zain'!M25+'Etihad Atheeb'!M26+'Etihad Etisalat (mobily)'!M25)*1000</f>
        <v>1510134000</v>
      </c>
      <c r="F13" s="64">
        <f>(STC!M10+'MTC Zain'!M10+'Etihad Atheeb'!M11+'Etihad Etisalat (mobily)'!M10)*1000</f>
        <v>183147237000</v>
      </c>
      <c r="G13" s="63">
        <f>(STC!M32+'MTC Zain'!M32+'Etihad Atheeb'!M33+'Etihad Etisalat (mobily)'!M32)*1000</f>
        <v>2617904000</v>
      </c>
      <c r="H13" s="145">
        <f>(STC!M$9+'MTC Zain'!M$9+'Etihad Etisalat (mobily)'!M$9+'Etihad Atheeb'!M$9)*1000</f>
        <v>5614708000</v>
      </c>
      <c r="I13" s="63">
        <f>(STC!M14+'MTC Zain'!M14+'Etihad Atheeb'!M15+'Etihad Etisalat (mobily)'!M14)*1000</f>
        <v>69548074000</v>
      </c>
      <c r="J13" s="73">
        <f t="shared" si="2"/>
        <v>177532529000</v>
      </c>
      <c r="K13" s="61">
        <f>D13/E13</f>
        <v>8.7476223964230986</v>
      </c>
      <c r="L13" s="61">
        <f t="shared" si="3"/>
        <v>7.4409360776919925E-2</v>
      </c>
      <c r="M13" s="61">
        <f t="shared" si="0"/>
        <v>0.88568322285963097</v>
      </c>
      <c r="N13" s="61">
        <f t="shared" si="4"/>
        <v>2.3527638480932578</v>
      </c>
      <c r="O13" s="61">
        <f t="shared" si="12"/>
        <v>9.63330561928273</v>
      </c>
      <c r="P13" s="61">
        <f t="shared" si="6"/>
        <v>11.986069467375987</v>
      </c>
      <c r="Q13" s="61">
        <f t="shared" si="7"/>
        <v>9.7077149800596505</v>
      </c>
      <c r="R13" s="61">
        <f t="shared" si="8"/>
        <v>12.060478828152908</v>
      </c>
      <c r="S13" s="53">
        <f>ARPU!F13</f>
        <v>215.58980620155037</v>
      </c>
      <c r="T13" s="53">
        <f t="shared" si="18"/>
        <v>3.7641646266149659E-2</v>
      </c>
      <c r="U13" s="53">
        <f t="shared" si="19"/>
        <v>1.429398577276926E-2</v>
      </c>
      <c r="V13" s="53">
        <f>AVERAGE(STC!M$53,'MTC Zain'!M$53,'Etihad Etisalat (mobily)'!M$53)</f>
        <v>17.504435273792126</v>
      </c>
      <c r="W13" s="53">
        <f>AVERAGE(STC!M$51,'MTC Zain'!M$51,'Etihad Etisalat (mobily)'!M$51)</f>
        <v>0.65581384552556699</v>
      </c>
      <c r="X13" s="61">
        <f t="shared" si="1"/>
        <v>208.26980926053943</v>
      </c>
      <c r="Y13" s="53">
        <v>215.58980620155037</v>
      </c>
      <c r="Z13" s="61"/>
    </row>
    <row r="14" spans="1:31" x14ac:dyDescent="0.25">
      <c r="A14" s="60">
        <v>201101</v>
      </c>
      <c r="B14" s="60">
        <v>13</v>
      </c>
      <c r="C14" s="60" t="s">
        <v>105</v>
      </c>
      <c r="D14" s="64">
        <f>(STC!N42+'MTC Zain'!N42+'Etihad Atheeb'!N43+'Etihad Etisalat (mobily)'!N42)*1000</f>
        <v>12199105000</v>
      </c>
      <c r="E14" s="64">
        <f>(STC!N25+'MTC Zain'!N25+'Etihad Atheeb'!N26+'Etihad Etisalat (mobily)'!N25)*1000</f>
        <v>1543413000</v>
      </c>
      <c r="F14" s="64">
        <f>(STC!N10+'MTC Zain'!N10+'Etihad Atheeb'!N11+'Etihad Etisalat (mobily)'!N10)*1000</f>
        <v>175971794000</v>
      </c>
      <c r="G14" s="63">
        <f>(STC!N32+'MTC Zain'!N32+'Etihad Atheeb'!N33+'Etihad Etisalat (mobily)'!N32)*1000</f>
        <v>1940806000</v>
      </c>
      <c r="H14" s="145">
        <f>(STC!N$9+'MTC Zain'!N$9+'Etihad Etisalat (mobily)'!N$9+'Etihad Atheeb'!N$9)*1000</f>
        <v>3500142000</v>
      </c>
      <c r="I14" s="63">
        <f>(STC!N14+'MTC Zain'!N14+'Etihad Atheeb'!N15+'Etihad Etisalat (mobily)'!N14)*1000</f>
        <v>66111643000</v>
      </c>
      <c r="J14" s="73">
        <f t="shared" si="2"/>
        <v>172471652000</v>
      </c>
      <c r="K14" s="61">
        <f>D14/E14</f>
        <v>7.9039796865777339</v>
      </c>
      <c r="L14" s="61">
        <f t="shared" si="3"/>
        <v>7.0731072953368598E-2</v>
      </c>
      <c r="M14" s="61">
        <f t="shared" si="0"/>
        <v>0.87348145622158346</v>
      </c>
      <c r="N14" s="61">
        <f t="shared" si="4"/>
        <v>3.4853171671320764</v>
      </c>
      <c r="O14" s="61">
        <f t="shared" si="12"/>
        <v>8.7774611427993179</v>
      </c>
      <c r="P14" s="61">
        <f t="shared" si="6"/>
        <v>12.262778309931395</v>
      </c>
      <c r="Q14" s="61">
        <f t="shared" si="7"/>
        <v>8.848192215752686</v>
      </c>
      <c r="R14" s="61">
        <f t="shared" si="8"/>
        <v>12.333509382884763</v>
      </c>
      <c r="S14" s="53">
        <f>ARPU!F14</f>
        <v>201.80031894934334</v>
      </c>
      <c r="T14" s="53">
        <f t="shared" si="18"/>
        <v>2.9356493227675494E-2</v>
      </c>
      <c r="U14" s="53">
        <f t="shared" si="19"/>
        <v>1.1029074352677226E-2</v>
      </c>
      <c r="V14" s="53">
        <f>AVERAGE(STC!N$53,'MTC Zain'!N$53,'Etihad Etisalat (mobily)'!N$53)</f>
        <v>17.053636468375927</v>
      </c>
      <c r="W14" s="53">
        <f>AVERAGE(STC!N$51,'MTC Zain'!N$51,'Etihad Etisalat (mobily)'!N$51)</f>
        <v>0.6289085248825631</v>
      </c>
      <c r="X14" s="61">
        <f>10.06+(3.553*V14)-(20.442*W14)+(3.892*K14)+(16.527*N14)+(1028*L14)</f>
        <v>218.8710910639056</v>
      </c>
      <c r="Y14" s="53">
        <v>201.80031894934334</v>
      </c>
      <c r="Z14" s="61"/>
    </row>
    <row r="15" spans="1:31" s="8" customFormat="1" x14ac:dyDescent="0.25">
      <c r="A15" s="60">
        <v>201102</v>
      </c>
      <c r="B15" s="60">
        <v>14</v>
      </c>
      <c r="C15" s="60" t="s">
        <v>106</v>
      </c>
      <c r="D15" s="64">
        <f>(STC!O42+'MTC Zain'!O42+'Etihad Atheeb'!O43+'Etihad Etisalat (mobily)'!O42)*1000</f>
        <v>13820914000</v>
      </c>
      <c r="E15" s="64">
        <f>(STC!O25+'MTC Zain'!O25+'Etihad Atheeb'!O26+'Etihad Etisalat (mobily)'!O25)*1000</f>
        <v>1563562000</v>
      </c>
      <c r="F15" s="64">
        <f>(STC!O10+'MTC Zain'!O10+'Etihad Atheeb'!O11+'Etihad Etisalat (mobily)'!O10)*1000</f>
        <v>174202597000</v>
      </c>
      <c r="G15" s="63">
        <f>(STC!O32+'MTC Zain'!O32+'Etihad Atheeb'!O33+'Etihad Etisalat (mobily)'!O32)*1000</f>
        <v>2882999000</v>
      </c>
      <c r="H15" s="145">
        <f>(STC!O$9+'MTC Zain'!O$9+'Etihad Etisalat (mobily)'!O$9+'Etihad Atheeb'!O$9)*1000</f>
        <v>5787748000</v>
      </c>
      <c r="I15" s="63">
        <f>(STC!O14+'MTC Zain'!O14+'Etihad Atheeb'!O15+'Etihad Etisalat (mobily)'!O14)*1000</f>
        <v>68857896000</v>
      </c>
      <c r="J15" s="73">
        <f t="shared" si="2"/>
        <v>168414849000</v>
      </c>
      <c r="K15" s="61">
        <f>D15/E15</f>
        <v>8.8393770122323261</v>
      </c>
      <c r="L15" s="61">
        <f t="shared" si="3"/>
        <v>8.2064699651275996E-2</v>
      </c>
      <c r="M15" s="61">
        <f t="shared" si="0"/>
        <v>0.88686985535110052</v>
      </c>
      <c r="N15" s="61">
        <f t="shared" si="4"/>
        <v>2.3879605677372271</v>
      </c>
      <c r="O15" s="61">
        <f t="shared" si="12"/>
        <v>9.726246867583427</v>
      </c>
      <c r="P15" s="61">
        <f t="shared" si="6"/>
        <v>12.114207435320655</v>
      </c>
      <c r="Q15" s="61">
        <f t="shared" si="7"/>
        <v>9.8083115672347034</v>
      </c>
      <c r="R15" s="61">
        <f t="shared" si="8"/>
        <v>12.196272134971931</v>
      </c>
      <c r="S15" s="53">
        <f>ARPU!F15</f>
        <v>212.3292700729927</v>
      </c>
      <c r="T15" s="53">
        <f t="shared" si="18"/>
        <v>4.186882213188739E-2</v>
      </c>
      <c r="U15" s="53">
        <f t="shared" si="19"/>
        <v>1.6549690128902041E-2</v>
      </c>
      <c r="V15" s="53">
        <f>AVERAGE(STC!O$53,'MTC Zain'!O$53,'Etihad Etisalat (mobily)'!O$53)</f>
        <v>17.336530866080846</v>
      </c>
      <c r="W15" s="53">
        <f>AVERAGE(STC!O$51,'MTC Zain'!O$51,'Etihad Etisalat (mobily)'!O$51)</f>
        <v>0.61357374247239582</v>
      </c>
      <c r="X15" s="61">
        <f t="shared" ref="X15:X33" si="20">10.06+(3.553*V15)-(20.442*W15)+(3.892*K15)+(16.527*N15)+(1028*L15)</f>
        <v>217.34521059967761</v>
      </c>
      <c r="Y15" s="53">
        <v>212.3292700729927</v>
      </c>
      <c r="Z15" s="61"/>
    </row>
    <row r="16" spans="1:31" x14ac:dyDescent="0.25">
      <c r="A16" s="60">
        <v>201103</v>
      </c>
      <c r="B16" s="60">
        <v>15</v>
      </c>
      <c r="C16" s="60" t="s">
        <v>107</v>
      </c>
      <c r="D16" s="64">
        <f>(STC!P42+'MTC Zain'!P42+'Etihad Atheeb'!P43+'Etihad Etisalat (mobily)'!P42)*1000</f>
        <v>13632856000</v>
      </c>
      <c r="E16" s="64">
        <f>(STC!P25+'MTC Zain'!P25+'Etihad Atheeb'!P26+'Etihad Etisalat (mobily)'!P25)*1000</f>
        <v>1516780000</v>
      </c>
      <c r="F16" s="64">
        <f>(STC!P10+'MTC Zain'!P10+'Etihad Atheeb'!P11+'Etihad Etisalat (mobily)'!P10)*1000</f>
        <v>178767803000</v>
      </c>
      <c r="G16" s="63">
        <f>(STC!P32+'MTC Zain'!P32+'Etihad Atheeb'!P33+'Etihad Etisalat (mobily)'!P32)*1000</f>
        <v>2217045000</v>
      </c>
      <c r="H16" s="145">
        <f>(STC!P$9+'MTC Zain'!P$9+'Etihad Etisalat (mobily)'!P$9+'Etihad Atheeb'!P$9)*1000</f>
        <v>4865591000</v>
      </c>
      <c r="I16" s="63">
        <f>(STC!P14+'MTC Zain'!P14+'Etihad Atheeb'!P15+'Etihad Etisalat (mobily)'!P14)*1000</f>
        <v>70298388000</v>
      </c>
      <c r="J16" s="73">
        <f t="shared" si="2"/>
        <v>173902212000</v>
      </c>
      <c r="K16" s="61">
        <f>D16/E16</f>
        <v>8.988024631126466</v>
      </c>
      <c r="L16" s="61">
        <f t="shared" si="3"/>
        <v>7.8393804444534615E-2</v>
      </c>
      <c r="M16" s="61">
        <f t="shared" si="0"/>
        <v>0.88874084784582186</v>
      </c>
      <c r="N16" s="61">
        <f t="shared" si="4"/>
        <v>2.8018910755137454</v>
      </c>
      <c r="O16" s="61">
        <f t="shared" si="12"/>
        <v>9.8767654789722883</v>
      </c>
      <c r="P16" s="61">
        <f t="shared" si="6"/>
        <v>12.678656554486034</v>
      </c>
      <c r="Q16" s="61">
        <f t="shared" si="7"/>
        <v>9.9551592834168225</v>
      </c>
      <c r="R16" s="61">
        <f t="shared" si="8"/>
        <v>12.757050358930568</v>
      </c>
      <c r="S16" s="53">
        <f>ARPU!F16</f>
        <v>206.69222816399287</v>
      </c>
      <c r="T16" s="53">
        <f t="shared" si="18"/>
        <v>3.1537636396441977E-2</v>
      </c>
      <c r="U16" s="53">
        <f t="shared" si="19"/>
        <v>1.2401813765088336E-2</v>
      </c>
      <c r="V16" s="53">
        <f>AVERAGE(STC!P$53,'MTC Zain'!P$53,'Etihad Etisalat (mobily)'!P$53)</f>
        <v>17.058916587495752</v>
      </c>
      <c r="W16" s="53">
        <f>AVERAGE(STC!P$51,'MTC Zain'!P$51,'Etihad Etisalat (mobily)'!P$51)</f>
        <v>0.60236812989174371</v>
      </c>
      <c r="X16" s="61">
        <f t="shared" si="20"/>
        <v>220.23379796246684</v>
      </c>
      <c r="Y16" s="53">
        <v>206.69222816399287</v>
      </c>
      <c r="Z16" s="61"/>
    </row>
    <row r="17" spans="1:26" x14ac:dyDescent="0.25">
      <c r="A17" s="60">
        <v>201104</v>
      </c>
      <c r="B17" s="60">
        <v>16</v>
      </c>
      <c r="C17" s="60" t="s">
        <v>109</v>
      </c>
      <c r="D17" s="64">
        <f>(STC!Q42+'MTC Zain'!Q42+'Etihad Atheeb'!Q43+'Etihad Etisalat (mobily)'!Q42)*1000</f>
        <v>13189024000</v>
      </c>
      <c r="E17" s="63">
        <f>(STC!Q25+'MTC Zain'!Q25+'Etihad Atheeb'!Q26+'Etihad Etisalat (mobily)'!Q25)*1000</f>
        <v>1564082000</v>
      </c>
      <c r="F17" s="64">
        <f>(STC!Q10+'MTC Zain'!Q10+'Etihad Atheeb'!Q11+'Etihad Etisalat (mobily)'!Q10)*1000</f>
        <v>183948121000</v>
      </c>
      <c r="G17" s="63">
        <f>(STC!Q32+'MTC Zain'!Q32+'Etihad Atheeb'!Q33+'Etihad Etisalat (mobily)'!Q32)*1000</f>
        <v>3048219000</v>
      </c>
      <c r="H17" s="145">
        <f>(STC!Q$9+'MTC Zain'!Q$9+'Etihad Etisalat (mobily)'!Q$9+'Etihad Atheeb'!Q$9)*1000</f>
        <v>5078004000</v>
      </c>
      <c r="I17" s="63">
        <f>(STC!Q14+'MTC Zain'!Q14+'Etihad Atheeb'!Q15+'Etihad Etisalat (mobily)'!Q14)*1000</f>
        <v>81664135000</v>
      </c>
      <c r="J17" s="73">
        <f t="shared" si="2"/>
        <v>178870117000</v>
      </c>
      <c r="K17" s="61">
        <f t="shared" ref="K17:K33" si="21">D17/E17</f>
        <v>8.432437685492193</v>
      </c>
      <c r="L17" s="61">
        <f t="shared" si="3"/>
        <v>7.3735200832903802E-2</v>
      </c>
      <c r="M17" s="61">
        <f t="shared" si="0"/>
        <v>0.88141033028675964</v>
      </c>
      <c r="N17" s="61">
        <f t="shared" si="4"/>
        <v>2.5972850750019103</v>
      </c>
      <c r="O17" s="61">
        <f t="shared" si="12"/>
        <v>9.3138480157789534</v>
      </c>
      <c r="P17" s="61">
        <f t="shared" si="6"/>
        <v>11.911133090780863</v>
      </c>
      <c r="Q17" s="61">
        <f t="shared" si="7"/>
        <v>9.3875832166118567</v>
      </c>
      <c r="R17" s="61">
        <f t="shared" si="8"/>
        <v>11.984868291613767</v>
      </c>
      <c r="S17" s="53">
        <f>ARPU!F17</f>
        <v>208.50240223463686</v>
      </c>
      <c r="T17" s="53">
        <f t="shared" si="18"/>
        <v>3.7326287727164439E-2</v>
      </c>
      <c r="U17" s="53">
        <f t="shared" si="19"/>
        <v>1.6571079842669336E-2</v>
      </c>
      <c r="V17" s="53">
        <f>AVERAGE(STC!Q$53,'MTC Zain'!Q$53,'Etihad Etisalat (mobily)'!Q$53)</f>
        <v>17.360633690209301</v>
      </c>
      <c r="W17" s="53">
        <f>AVERAGE(STC!Q$51,'MTC Zain'!Q$51,'Etihad Etisalat (mobily)'!Q$51)</f>
        <v>0.55006683858478367</v>
      </c>
      <c r="X17" s="61">
        <f t="shared" si="20"/>
        <v>212.04202954968076</v>
      </c>
      <c r="Y17" s="53">
        <v>208.50240223463686</v>
      </c>
      <c r="Z17" s="61"/>
    </row>
    <row r="18" spans="1:26" x14ac:dyDescent="0.25">
      <c r="A18" s="60">
        <v>201201</v>
      </c>
      <c r="B18" s="60">
        <v>17</v>
      </c>
      <c r="C18" s="60" t="s">
        <v>110</v>
      </c>
      <c r="D18" s="64">
        <f>(STC!R42+'MTC Zain'!R42+'Etihad Atheeb'!R43+'Etihad Etisalat (mobily)'!R42)*1000</f>
        <v>14535958000</v>
      </c>
      <c r="E18" s="63">
        <f>(STC!R25+'MTC Zain'!R25+'Etihad Atheeb'!R26+'Etihad Etisalat (mobily)'!R25)*1000</f>
        <v>1712421000</v>
      </c>
      <c r="F18" s="64">
        <f>(STC!R10+'MTC Zain'!R10+'Etihad Atheeb'!R11+'Etihad Etisalat (mobily)'!R10)*1000</f>
        <v>180130441000</v>
      </c>
      <c r="G18" s="63">
        <f>(STC!R32+'MTC Zain'!R32+'Etihad Atheeb'!R33+'Etihad Etisalat (mobily)'!R32)*1000</f>
        <v>3262150000</v>
      </c>
      <c r="H18" s="145">
        <f>(STC!R$9+'MTC Zain'!R$9+'Etihad Etisalat (mobily)'!R$9+'Etihad Atheeb'!R$9)*1000</f>
        <v>5884463000</v>
      </c>
      <c r="I18" s="63">
        <f>(STC!R14+'MTC Zain'!R14+'Etihad Atheeb'!R15+'Etihad Etisalat (mobily)'!R14)*1000</f>
        <v>71256772000</v>
      </c>
      <c r="J18" s="73">
        <f t="shared" si="2"/>
        <v>174245978000</v>
      </c>
      <c r="K18" s="61">
        <f t="shared" si="21"/>
        <v>8.4885422451605059</v>
      </c>
      <c r="L18" s="61">
        <f t="shared" si="3"/>
        <v>8.3422057523761042E-2</v>
      </c>
      <c r="M18" s="61">
        <f t="shared" si="0"/>
        <v>0.88219414227806658</v>
      </c>
      <c r="N18" s="61">
        <f t="shared" si="4"/>
        <v>2.4702267649571423</v>
      </c>
      <c r="O18" s="61">
        <f t="shared" si="12"/>
        <v>9.3707363874385727</v>
      </c>
      <c r="P18" s="61">
        <f t="shared" si="6"/>
        <v>11.840963152395716</v>
      </c>
      <c r="Q18" s="61">
        <f t="shared" si="7"/>
        <v>9.4541584449623333</v>
      </c>
      <c r="R18" s="61">
        <f t="shared" si="8"/>
        <v>11.924385209919475</v>
      </c>
      <c r="S18" s="53">
        <f>ARPU!F18</f>
        <v>226.18454880294658</v>
      </c>
      <c r="T18" s="53">
        <f t="shared" si="18"/>
        <v>4.5780210195320102E-2</v>
      </c>
      <c r="U18" s="53">
        <f t="shared" si="19"/>
        <v>1.810993179104025E-2</v>
      </c>
      <c r="V18" s="53">
        <f>AVERAGE(STC!R$53,'MTC Zain'!R$53,'Etihad Etisalat (mobily)'!R$53,'Etihad Atheeb'!R$54)</f>
        <v>16.546299318435779</v>
      </c>
      <c r="W18" s="53">
        <f>AVERAGE(STC!B$51,'MTC Zain'!B$51,'Etihad Etisalat (mobily)'!B$51,'Etihad Atheeb'!R$52)</f>
        <v>0.58909442798667278</v>
      </c>
      <c r="X18" s="61">
        <f t="shared" si="20"/>
        <v>216.42745247853651</v>
      </c>
      <c r="Y18" s="53">
        <v>226.18454880294658</v>
      </c>
      <c r="Z18" s="61"/>
    </row>
    <row r="19" spans="1:26" x14ac:dyDescent="0.25">
      <c r="A19" s="60">
        <v>201202</v>
      </c>
      <c r="B19" s="60">
        <v>18</v>
      </c>
      <c r="C19" s="60" t="s">
        <v>111</v>
      </c>
      <c r="D19" s="64">
        <f>(STC!S42+'MTC Zain'!S42+'Etihad Atheeb'!S43+'Etihad Etisalat (mobily)'!S42)*1000</f>
        <v>11151020000</v>
      </c>
      <c r="E19" s="63">
        <f>(STC!S25+'MTC Zain'!S25+'Etihad Atheeb'!S26+'Etihad Etisalat (mobily)'!S25)*1000</f>
        <v>1709499000</v>
      </c>
      <c r="F19" s="64">
        <f>(STC!S10+'MTC Zain'!S10+'Etihad Atheeb'!S11+'Etihad Etisalat (mobily)'!S10)*1000</f>
        <v>185002145000</v>
      </c>
      <c r="G19" s="63">
        <f>(STC!S32+'MTC Zain'!S32+'Etihad Atheeb'!S33+'Etihad Etisalat (mobily)'!S32)*1000</f>
        <v>3371640000</v>
      </c>
      <c r="H19" s="145">
        <f>(STC!S$9+'MTC Zain'!S$9+'Etihad Etisalat (mobily)'!S$9+'Etihad Atheeb'!S$9)*1000</f>
        <v>4840516000</v>
      </c>
      <c r="I19" s="63">
        <f>(STC!S14+'MTC Zain'!S14+'Etihad Atheeb'!S15+'Etihad Etisalat (mobily)'!S14)*1000</f>
        <v>73531849000</v>
      </c>
      <c r="J19" s="73">
        <f t="shared" si="2"/>
        <v>180161629000</v>
      </c>
      <c r="K19" s="61">
        <f t="shared" si="21"/>
        <v>6.5229754448525563</v>
      </c>
      <c r="L19" s="61">
        <f t="shared" si="3"/>
        <v>6.1894533602379898E-2</v>
      </c>
      <c r="M19" s="61">
        <f t="shared" si="0"/>
        <v>0.84669572828315254</v>
      </c>
      <c r="N19" s="61">
        <f t="shared" si="4"/>
        <v>2.3036841526812433</v>
      </c>
      <c r="O19" s="61">
        <f t="shared" si="12"/>
        <v>7.3696711731357087</v>
      </c>
      <c r="P19" s="61">
        <f t="shared" si="6"/>
        <v>9.6733553258169529</v>
      </c>
      <c r="Q19" s="61">
        <f t="shared" si="7"/>
        <v>7.4315657067380885</v>
      </c>
      <c r="R19" s="61">
        <f t="shared" si="8"/>
        <v>9.7352498594193317</v>
      </c>
      <c r="S19" s="53">
        <f>ARPU!F19</f>
        <v>174.08225688073395</v>
      </c>
      <c r="T19" s="53">
        <f t="shared" si="18"/>
        <v>4.5852784145275605E-2</v>
      </c>
      <c r="U19" s="53">
        <f t="shared" si="19"/>
        <v>1.8224869771104546E-2</v>
      </c>
      <c r="V19" s="53">
        <f>AVERAGE(STC!S$53,'MTC Zain'!S$53,'Etihad Etisalat (mobily)'!S$53,'Etihad Atheeb'!S$54)</f>
        <v>16.304623639920461</v>
      </c>
      <c r="W19" s="53">
        <f>AVERAGE(STC!S$51,'MTC Zain'!S$51,'Etihad Etisalat (mobily)'!S$51,'Etihad Atheeb'!S$52)</f>
        <v>0.58816492467012504</v>
      </c>
      <c r="X19" s="61">
        <f t="shared" si="20"/>
        <v>183.0550493685063</v>
      </c>
      <c r="Y19" s="53">
        <v>174.08225688073395</v>
      </c>
      <c r="Z19" s="61"/>
    </row>
    <row r="20" spans="1:26" x14ac:dyDescent="0.25">
      <c r="A20" s="60">
        <v>201203</v>
      </c>
      <c r="B20" s="60">
        <v>19</v>
      </c>
      <c r="C20" s="60" t="s">
        <v>112</v>
      </c>
      <c r="D20" s="64">
        <f>(STC!T42+'MTC Zain'!T42+'Etihad Atheeb'!T43+'Etihad Etisalat (mobily)'!T42)*1000</f>
        <v>14106908000</v>
      </c>
      <c r="E20" s="63">
        <f>(STC!T25+'MTC Zain'!T25+'Etihad Atheeb'!T26+'Etihad Etisalat (mobily)'!T25)*1000</f>
        <v>1484825000</v>
      </c>
      <c r="F20" s="64">
        <f>(STC!T10+'MTC Zain'!T10+'Etihad Atheeb'!T11+'Etihad Etisalat (mobily)'!T10)*1000</f>
        <v>193698424000</v>
      </c>
      <c r="G20" s="63">
        <f>(STC!T32+'MTC Zain'!T32+'Etihad Atheeb'!T33+'Etihad Etisalat (mobily)'!T32)*1000</f>
        <v>2895296000</v>
      </c>
      <c r="H20" s="145">
        <f>(STC!T$9+'MTC Zain'!T$9+'Etihad Etisalat (mobily)'!T$9+'Etihad Atheeb'!T$9)*1000</f>
        <v>6020130000</v>
      </c>
      <c r="I20" s="63">
        <f>(STC!T14+'MTC Zain'!T14+'Etihad Atheeb'!T15+'Etihad Etisalat (mobily)'!T14)*1000</f>
        <v>84372479000</v>
      </c>
      <c r="J20" s="73">
        <f t="shared" si="2"/>
        <v>187678294000</v>
      </c>
      <c r="K20" s="61">
        <f t="shared" si="21"/>
        <v>9.5007209603825373</v>
      </c>
      <c r="L20" s="61">
        <f t="shared" si="3"/>
        <v>7.5165367818187862E-2</v>
      </c>
      <c r="M20" s="61">
        <f t="shared" si="0"/>
        <v>0.8947448299797518</v>
      </c>
      <c r="N20" s="61">
        <f t="shared" si="4"/>
        <v>2.343289596736283</v>
      </c>
      <c r="O20" s="61">
        <f t="shared" si="12"/>
        <v>10.395465790362289</v>
      </c>
      <c r="P20" s="61">
        <f t="shared" si="6"/>
        <v>12.738755387098571</v>
      </c>
      <c r="Q20" s="61">
        <f t="shared" si="7"/>
        <v>10.470631158180478</v>
      </c>
      <c r="R20" s="61">
        <f t="shared" si="8"/>
        <v>12.813920754916762</v>
      </c>
      <c r="S20" s="53">
        <f>ARPU!F20</f>
        <v>234.80909604519775</v>
      </c>
      <c r="T20" s="53">
        <f t="shared" si="18"/>
        <v>3.4315644559880717E-2</v>
      </c>
      <c r="U20" s="53">
        <f t="shared" si="19"/>
        <v>1.4947442215637232E-2</v>
      </c>
      <c r="V20" s="53">
        <f>AVERAGE(STC!T$53,'MTC Zain'!T$53,'Etihad Etisalat (mobily)'!T$53,'Etihad Atheeb'!T$54)</f>
        <v>16.362446597053413</v>
      </c>
      <c r="W20" s="53">
        <f>AVERAGE(STC!T$51,'MTC Zain'!T$51,'Etihad Etisalat (mobily)'!T$51,'Etihad Atheeb'!T$52)</f>
        <v>0.53218522879674257</v>
      </c>
      <c r="X20" s="61">
        <f t="shared" si="20"/>
        <v>210.29119357243428</v>
      </c>
      <c r="Y20" s="53">
        <v>234.80909604519775</v>
      </c>
      <c r="Z20" s="61"/>
    </row>
    <row r="21" spans="1:26" x14ac:dyDescent="0.25">
      <c r="A21" s="60">
        <v>201204</v>
      </c>
      <c r="B21" s="60">
        <v>20</v>
      </c>
      <c r="C21" s="60" t="s">
        <v>113</v>
      </c>
      <c r="D21" s="64">
        <f>(STC!U42+'MTC Zain'!U42+'Etihad Atheeb'!U43+'Etihad Etisalat (mobily)'!U42)*1000</f>
        <v>14641262000</v>
      </c>
      <c r="E21" s="63">
        <f>(STC!U25+'MTC Zain'!U25+'Etihad Atheeb'!U26+'Etihad Etisalat (mobily)'!U25)*1000</f>
        <v>1269761000</v>
      </c>
      <c r="F21" s="64">
        <f>(STC!U10+'MTC Zain'!U10+'Etihad Atheeb'!U11+'Etihad Etisalat (mobily)'!U10)*1000</f>
        <v>155662311000</v>
      </c>
      <c r="G21" s="63">
        <f>(STC!U32+'MTC Zain'!U32+'Etihad Atheeb'!U33+'Etihad Etisalat (mobily)'!U32)*1000</f>
        <v>958302000</v>
      </c>
      <c r="H21" s="145">
        <f>(STC!U$9+'MTC Zain'!U$9+'Etihad Etisalat (mobily)'!U$9+'Etihad Atheeb'!U$9)*1000</f>
        <v>4899670000</v>
      </c>
      <c r="I21" s="63">
        <f>(STC!U14+'MTC Zain'!U14+'Etihad Atheeb'!U15+'Etihad Etisalat (mobily)'!U14)*1000</f>
        <v>86518894000</v>
      </c>
      <c r="J21" s="73">
        <f t="shared" si="2"/>
        <v>150762641000</v>
      </c>
      <c r="K21" s="61">
        <f t="shared" si="21"/>
        <v>11.530722710809357</v>
      </c>
      <c r="L21" s="61">
        <f t="shared" si="3"/>
        <v>9.7114655878176082E-2</v>
      </c>
      <c r="M21" s="61">
        <f t="shared" si="0"/>
        <v>0.91327516712698675</v>
      </c>
      <c r="N21" s="61">
        <f t="shared" si="4"/>
        <v>2.988213900119804</v>
      </c>
      <c r="O21" s="61">
        <f t="shared" si="12"/>
        <v>12.443997877936344</v>
      </c>
      <c r="P21" s="61">
        <f t="shared" si="6"/>
        <v>15.432211778056148</v>
      </c>
      <c r="Q21" s="61">
        <f t="shared" si="7"/>
        <v>12.54111253381452</v>
      </c>
      <c r="R21" s="61">
        <f t="shared" si="8"/>
        <v>15.529326433934324</v>
      </c>
      <c r="S21" s="53">
        <f>ARPU!F21</f>
        <v>229.40871698113207</v>
      </c>
      <c r="T21" s="53">
        <f t="shared" si="18"/>
        <v>1.1076216485152942E-2</v>
      </c>
      <c r="U21" s="53">
        <f t="shared" si="19"/>
        <v>6.1562878891088801E-3</v>
      </c>
      <c r="V21" s="53">
        <f>AVERAGE(STC!U$53,'MTC Zain'!U$53,'Etihad Etisalat (mobily)'!U$53,'Etihad Atheeb'!U$54)</f>
        <v>15.661166470734159</v>
      </c>
      <c r="W21" s="53">
        <f>AVERAGE(STC!U$51,'MTC Zain'!U$51,'Etihad Etisalat (mobily)'!U$51,'Etihad Atheeb'!U$52)</f>
        <v>0.49448558882344407</v>
      </c>
      <c r="X21" s="61">
        <f t="shared" si="20"/>
        <v>249.69350022430467</v>
      </c>
      <c r="Y21" s="53">
        <v>229.40871698113207</v>
      </c>
      <c r="Z21" s="61"/>
    </row>
    <row r="22" spans="1:26" x14ac:dyDescent="0.25">
      <c r="A22" s="60">
        <v>201301</v>
      </c>
      <c r="B22" s="60">
        <v>21</v>
      </c>
      <c r="C22" s="60" t="s">
        <v>114</v>
      </c>
      <c r="D22" s="64">
        <f>(STC!V42+'MTC Zain'!V42+'Etihad Atheeb'!V43+'Etihad Etisalat (mobily)'!V42)*1000</f>
        <v>12013133000</v>
      </c>
      <c r="E22" s="63">
        <f>(STC!V25+'MTC Zain'!V25+'Etihad Atheeb'!V26+'Etihad Etisalat (mobily)'!V25)*1000</f>
        <v>1236087000</v>
      </c>
      <c r="F22" s="64">
        <f>(STC!V10+'MTC Zain'!V10+'Etihad Atheeb'!V11+'Etihad Etisalat (mobily)'!V10)*1000</f>
        <v>153029833000</v>
      </c>
      <c r="G22" s="63">
        <f>(STC!V32+'MTC Zain'!V32+'Etihad Atheeb'!V33+'Etihad Etisalat (mobily)'!V32)*1000</f>
        <v>2430024000</v>
      </c>
      <c r="H22" s="145">
        <f>(STC!V$9+'MTC Zain'!V$9+'Etihad Etisalat (mobily)'!V$9+'Etihad Atheeb'!V$9)*1000</f>
        <v>4194843000</v>
      </c>
      <c r="I22" s="63">
        <f>(STC!V14+'MTC Zain'!V14+'Etihad Atheeb'!V15+'Etihad Etisalat (mobily)'!V14)*1000</f>
        <v>82005323000</v>
      </c>
      <c r="J22" s="73">
        <f t="shared" si="2"/>
        <v>148834990000</v>
      </c>
      <c r="K22" s="61">
        <f t="shared" si="21"/>
        <v>9.7186791868209923</v>
      </c>
      <c r="L22" s="61">
        <f t="shared" si="3"/>
        <v>8.0714440871733184E-2</v>
      </c>
      <c r="M22" s="61">
        <f t="shared" si="0"/>
        <v>0.89710535960935422</v>
      </c>
      <c r="N22" s="61">
        <f t="shared" si="4"/>
        <v>2.863786082101285</v>
      </c>
      <c r="O22" s="61">
        <f t="shared" si="12"/>
        <v>10.615784546430346</v>
      </c>
      <c r="P22" s="61">
        <f t="shared" si="6"/>
        <v>13.479570628531631</v>
      </c>
      <c r="Q22" s="61">
        <f t="shared" si="7"/>
        <v>10.696498987302078</v>
      </c>
      <c r="R22" s="61">
        <f t="shared" si="8"/>
        <v>13.560285069403363</v>
      </c>
      <c r="S22" s="53">
        <f>ARPU!F22</f>
        <v>198.64809615384615</v>
      </c>
      <c r="T22" s="53">
        <f t="shared" si="18"/>
        <v>2.9632515440491589E-2</v>
      </c>
      <c r="U22" s="53">
        <f t="shared" si="19"/>
        <v>1.587941352585806E-2</v>
      </c>
      <c r="V22" s="53">
        <f>AVERAGE(STC!V$53,'MTC Zain'!V$53,'Etihad Etisalat (mobily)'!V$53,'Etihad Atheeb'!V$54)</f>
        <v>15.913107148171026</v>
      </c>
      <c r="W22" s="53">
        <f>AVERAGE(STC!V$51,'MTC Zain'!V$51,'Etihad Etisalat (mobily)'!V$51,'Etihad Atheeb'!V$52)</f>
        <v>0.54029255044785207</v>
      </c>
      <c r="X22" s="61">
        <f t="shared" si="20"/>
        <v>223.68394657133359</v>
      </c>
      <c r="Y22" s="53">
        <v>198.64809615384615</v>
      </c>
      <c r="Z22" s="61"/>
    </row>
    <row r="23" spans="1:26" x14ac:dyDescent="0.25">
      <c r="A23" s="60">
        <v>201302</v>
      </c>
      <c r="B23" s="60">
        <v>22</v>
      </c>
      <c r="C23" s="60" t="s">
        <v>115</v>
      </c>
      <c r="D23" s="64">
        <f>(STC!W42+'MTC Zain'!W42+'Etihad Atheeb'!W43+'Etihad Etisalat (mobily)'!W42)*1000</f>
        <v>13860207000</v>
      </c>
      <c r="E23" s="63">
        <f>(STC!W25+'MTC Zain'!W25+'Etihad Atheeb'!W26+'Etihad Etisalat (mobily)'!W25)*1000</f>
        <v>1187445000</v>
      </c>
      <c r="F23" s="64">
        <f>(STC!W10+'MTC Zain'!W10+'Etihad Atheeb'!W11+'Etihad Etisalat (mobily)'!W10)*1000</f>
        <v>142207489000</v>
      </c>
      <c r="G23" s="63">
        <f>(STC!W32+'MTC Zain'!W32+'Etihad Atheeb'!W33+'Etihad Etisalat (mobily)'!W32)*1000</f>
        <v>2600613000</v>
      </c>
      <c r="H23" s="145">
        <f>(STC!W$9+'MTC Zain'!W$9+'Etihad Etisalat (mobily)'!W$9+'Etihad Atheeb'!W$9)*1000</f>
        <v>4527115000</v>
      </c>
      <c r="I23" s="63">
        <f>(STC!W14+'MTC Zain'!W14+'Etihad Atheeb'!W15+'Etihad Etisalat (mobily)'!W14)*1000</f>
        <v>82377951000</v>
      </c>
      <c r="J23" s="73">
        <f t="shared" si="2"/>
        <v>137680374000</v>
      </c>
      <c r="K23" s="61">
        <f t="shared" si="21"/>
        <v>11.672293874663669</v>
      </c>
      <c r="L23" s="61">
        <f t="shared" si="3"/>
        <v>0.10066944617683854</v>
      </c>
      <c r="M23" s="61">
        <f t="shared" si="0"/>
        <v>0.91432703710702157</v>
      </c>
      <c r="N23" s="61">
        <f t="shared" si="4"/>
        <v>3.061598170137052</v>
      </c>
      <c r="O23" s="61">
        <f t="shared" si="12"/>
        <v>12.586620911770691</v>
      </c>
      <c r="P23" s="61">
        <f t="shared" si="6"/>
        <v>15.648219081907744</v>
      </c>
      <c r="Q23" s="61">
        <f t="shared" si="7"/>
        <v>12.68729035794753</v>
      </c>
      <c r="R23" s="61">
        <f t="shared" si="8"/>
        <v>15.748888528084581</v>
      </c>
      <c r="S23" s="53">
        <f>ARPU!F23</f>
        <v>234.17523076923078</v>
      </c>
      <c r="T23" s="53">
        <f t="shared" si="18"/>
        <v>3.1569284844193322E-2</v>
      </c>
      <c r="U23" s="53">
        <f t="shared" si="19"/>
        <v>1.8287454607963719E-2</v>
      </c>
      <c r="V23" s="53">
        <f>AVERAGE(STC!W$53,'MTC Zain'!W$53,'Etihad Etisalat (mobily)'!W$53,'Etihad Atheeb'!W$54)</f>
        <v>16.166496270110681</v>
      </c>
      <c r="W23" s="53">
        <f>AVERAGE(STC!W$51,'MTC Zain'!W$51,'Etihad Etisalat (mobily)'!W$51,'Etihad Atheeb'!W$52)</f>
        <v>0.71198669275872706</v>
      </c>
      <c r="X23" s="61">
        <f t="shared" si="20"/>
        <v>252.46092066216542</v>
      </c>
      <c r="Y23" s="53">
        <v>234.17523076923078</v>
      </c>
      <c r="Z23" s="61"/>
    </row>
    <row r="24" spans="1:26" x14ac:dyDescent="0.25">
      <c r="A24" s="60">
        <v>201303</v>
      </c>
      <c r="B24" s="60">
        <v>23</v>
      </c>
      <c r="C24" s="60" t="s">
        <v>116</v>
      </c>
      <c r="D24" s="64">
        <f>(STC!X42+'MTC Zain'!X42+'Etihad Atheeb'!X43+'Etihad Etisalat (mobily)'!X42)*1000</f>
        <v>13734449000</v>
      </c>
      <c r="E24" s="63">
        <f>(STC!X25+'MTC Zain'!X25+'Etihad Atheeb'!X26+'Etihad Etisalat (mobily)'!X25)*1000</f>
        <v>1380833000</v>
      </c>
      <c r="F24" s="64">
        <f>(STC!X10+'MTC Zain'!X10+'Etihad Atheeb'!X11+'Etihad Etisalat (mobily)'!X10)*1000</f>
        <v>156575231000</v>
      </c>
      <c r="G24" s="63">
        <f>(STC!X32+'MTC Zain'!X32+'Etihad Atheeb'!X33+'Etihad Etisalat (mobily)'!X32)*1000</f>
        <v>4608132000</v>
      </c>
      <c r="H24" s="145">
        <f>(STC!X$9+'MTC Zain'!X$9+'Etihad Etisalat (mobily)'!X$9+'Etihad Atheeb'!X$9)*1000</f>
        <v>5496812000</v>
      </c>
      <c r="I24" s="63">
        <f>(STC!X14+'MTC Zain'!X14+'Etihad Atheeb'!X15+'Etihad Etisalat (mobily)'!X14)*1000</f>
        <v>92489796000</v>
      </c>
      <c r="J24" s="73">
        <f t="shared" si="2"/>
        <v>151078419000</v>
      </c>
      <c r="K24" s="61">
        <f t="shared" si="21"/>
        <v>9.946495340131646</v>
      </c>
      <c r="L24" s="61">
        <f t="shared" si="3"/>
        <v>9.0909403811010231E-2</v>
      </c>
      <c r="M24" s="61">
        <f t="shared" si="0"/>
        <v>0.8994620752532555</v>
      </c>
      <c r="N24" s="61">
        <f t="shared" si="4"/>
        <v>2.4986208369505816</v>
      </c>
      <c r="O24" s="61">
        <f t="shared" si="12"/>
        <v>10.845957415384902</v>
      </c>
      <c r="P24" s="61">
        <f t="shared" si="6"/>
        <v>13.344578252335484</v>
      </c>
      <c r="Q24" s="61">
        <f t="shared" si="7"/>
        <v>10.936866819195911</v>
      </c>
      <c r="R24" s="61">
        <f t="shared" si="8"/>
        <v>13.435487656146492</v>
      </c>
      <c r="S24" s="53">
        <f>ARPU!F24</f>
        <v>235.82760784313726</v>
      </c>
      <c r="T24" s="53">
        <f t="shared" si="18"/>
        <v>4.98231394088057E-2</v>
      </c>
      <c r="U24" s="53">
        <f t="shared" si="19"/>
        <v>2.9430785256194192E-2</v>
      </c>
      <c r="V24" s="53">
        <f>AVERAGE(STC!X$53,'MTC Zain'!X$53,'Etihad Etisalat (mobily)'!X$53,'Etihad Atheeb'!X$54)</f>
        <v>16.437169766727706</v>
      </c>
      <c r="W24" s="53">
        <f>AVERAGE(STC!X$51,'MTC Zain'!X$51,'Etihad Etisalat (mobily)'!X$51,'Etihad Atheeb'!X$52)</f>
        <v>0.52846270891951175</v>
      </c>
      <c r="X24" s="61">
        <f t="shared" si="20"/>
        <v>231.11976303924402</v>
      </c>
      <c r="Y24" s="53">
        <v>235.82760784313726</v>
      </c>
      <c r="Z24" s="61"/>
    </row>
    <row r="25" spans="1:26" x14ac:dyDescent="0.25">
      <c r="A25" s="60">
        <v>201304</v>
      </c>
      <c r="B25" s="60">
        <v>24</v>
      </c>
      <c r="C25" s="60" t="s">
        <v>117</v>
      </c>
      <c r="D25" s="64">
        <f>(STC!Y42+'MTC Zain'!Y42+'Etihad Atheeb'!Y43+'Etihad Etisalat (mobily)'!Y42)*1000</f>
        <v>14793722000</v>
      </c>
      <c r="E25" s="63">
        <f>(STC!Y25+'MTC Zain'!Y25+'Etihad Atheeb'!Y26+'Etihad Etisalat (mobily)'!Y25)*1000</f>
        <v>1841568000</v>
      </c>
      <c r="F25" s="64">
        <f>(STC!Y10+'MTC Zain'!Y10+'Etihad Atheeb'!Y11+'Etihad Etisalat (mobily)'!Y10)*1000</f>
        <v>164814991000</v>
      </c>
      <c r="G25" s="63">
        <f>(STC!Y32+'MTC Zain'!Y32+'Etihad Atheeb'!Y33+'Etihad Etisalat (mobily)'!Y32)*1000</f>
        <v>5106972000</v>
      </c>
      <c r="H25" s="145">
        <f>(STC!Y$9+'MTC Zain'!Y$9+'Etihad Etisalat (mobily)'!Y$9+'Etihad Atheeb'!Y$9)*1000</f>
        <v>3887892000</v>
      </c>
      <c r="I25" s="63">
        <f>(STC!Y14+'MTC Zain'!Y14+'Etihad Atheeb'!Y15+'Etihad Etisalat (mobily)'!Y14)*1000</f>
        <v>90605858000</v>
      </c>
      <c r="J25" s="73">
        <f t="shared" si="2"/>
        <v>160927099000</v>
      </c>
      <c r="K25" s="61">
        <f t="shared" si="21"/>
        <v>8.0332206033119604</v>
      </c>
      <c r="L25" s="61">
        <f t="shared" si="3"/>
        <v>9.1928097206300852E-2</v>
      </c>
      <c r="M25" s="61">
        <f t="shared" si="0"/>
        <v>0.8755169253552284</v>
      </c>
      <c r="N25" s="61">
        <f t="shared" si="4"/>
        <v>3.805075346743171</v>
      </c>
      <c r="O25" s="61">
        <f t="shared" si="12"/>
        <v>8.9087375286671886</v>
      </c>
      <c r="P25" s="61">
        <f t="shared" si="6"/>
        <v>12.71381287541036</v>
      </c>
      <c r="Q25" s="61">
        <f t="shared" si="7"/>
        <v>9.0006656258734896</v>
      </c>
      <c r="R25" s="61">
        <f t="shared" si="8"/>
        <v>12.805740972616661</v>
      </c>
      <c r="S25" s="53">
        <f>ARPU!F25</f>
        <v>255.22541176470588</v>
      </c>
      <c r="T25" s="53">
        <f t="shared" si="18"/>
        <v>5.6364699951298954E-2</v>
      </c>
      <c r="U25" s="53">
        <f t="shared" si="19"/>
        <v>3.0986089123409898E-2</v>
      </c>
      <c r="V25" s="53">
        <f>AVERAGE(STC!Y$53,'MTC Zain'!Y$53,'Etihad Etisalat (mobily)'!Y$53,'Etihad Atheeb'!Y$54)</f>
        <v>16.926152409851227</v>
      </c>
      <c r="W25" s="53">
        <f>AVERAGE(STC!Y$51,'MTC Zain'!Y$51,'Etihad Etisalat (mobily)'!Y$51,'Etihad Atheeb'!Y$52)</f>
        <v>0.53005522200485122</v>
      </c>
      <c r="X25" s="61">
        <f t="shared" si="20"/>
        <v>248.01708943577003</v>
      </c>
      <c r="Y25" s="53">
        <v>255.22541176470588</v>
      </c>
      <c r="Z25" s="61"/>
    </row>
    <row r="26" spans="1:26" x14ac:dyDescent="0.25">
      <c r="A26" s="60">
        <v>201401</v>
      </c>
      <c r="B26" s="60">
        <v>25</v>
      </c>
      <c r="C26" s="60" t="s">
        <v>118</v>
      </c>
      <c r="D26" s="64">
        <f>(STC!Z42+'MTC Zain'!Z42+'Etihad Atheeb'!Z43+'Etihad Etisalat (mobily)'!Z42)*1000</f>
        <v>12480231000</v>
      </c>
      <c r="E26" s="63">
        <f>(STC!Z25+'MTC Zain'!Z25+'Etihad Atheeb'!Z26+'Etihad Etisalat (mobily)'!Z25)*1000</f>
        <v>1243897000</v>
      </c>
      <c r="F26" s="64">
        <f>(STC!Z10+'MTC Zain'!Z10+'Etihad Atheeb'!Z11+'Etihad Etisalat (mobily)'!Z10)*1000</f>
        <v>164517297000</v>
      </c>
      <c r="G26" s="63">
        <f>(STC!Z32+'MTC Zain'!Z32+'Etihad Atheeb'!Z33+'Etihad Etisalat (mobily)'!Z32)*1000</f>
        <v>3404514000</v>
      </c>
      <c r="H26" s="145">
        <f>(STC!Z$9+'MTC Zain'!Z$9+'Etihad Etisalat (mobily)'!Z$9+'Etihad Atheeb'!Z$9)*1000</f>
        <v>4384752000</v>
      </c>
      <c r="I26" s="63">
        <f>(STC!Z14+'MTC Zain'!Z14+'Etihad Atheeb'!Z15+'Etihad Etisalat (mobily)'!Z14)*1000</f>
        <v>88507197000</v>
      </c>
      <c r="J26" s="73">
        <f t="shared" si="2"/>
        <v>160132545000</v>
      </c>
      <c r="K26" s="61">
        <f t="shared" si="21"/>
        <v>10.03317075288388</v>
      </c>
      <c r="L26" s="61">
        <f t="shared" si="3"/>
        <v>7.793688035121156E-2</v>
      </c>
      <c r="M26" s="61">
        <f t="shared" si="0"/>
        <v>0.9003306108676995</v>
      </c>
      <c r="N26" s="61">
        <f t="shared" si="4"/>
        <v>2.8462797895981344</v>
      </c>
      <c r="O26" s="61">
        <f t="shared" si="12"/>
        <v>10.93350136375158</v>
      </c>
      <c r="P26" s="61">
        <f t="shared" si="6"/>
        <v>13.779781153349713</v>
      </c>
      <c r="Q26" s="61">
        <f t="shared" si="7"/>
        <v>11.011438244102791</v>
      </c>
      <c r="R26" s="61">
        <f t="shared" si="8"/>
        <v>13.857718033700927</v>
      </c>
      <c r="S26" s="53">
        <f>ARPU!F26</f>
        <v>212.25568000000001</v>
      </c>
      <c r="T26" s="53">
        <f t="shared" si="18"/>
        <v>3.8465956615934861E-2</v>
      </c>
      <c r="U26" s="53">
        <f t="shared" si="19"/>
        <v>2.0693957790954953E-2</v>
      </c>
      <c r="V26" s="53">
        <f>AVERAGE(STC!Z$53,'MTC Zain'!Z$53,'Etihad Etisalat (mobily)'!Z$53,'Etihad Atheeb'!Z$54)</f>
        <v>16.092538563144579</v>
      </c>
      <c r="W26" s="53">
        <f>AVERAGE(STC!Z$51,'MTC Zain'!Z$51,'Etihad Etisalat (mobily)'!Z$51,'Etihad Atheeb'!Z$52)</f>
        <v>0.54036096395668187</v>
      </c>
      <c r="X26" s="61">
        <f t="shared" si="20"/>
        <v>222.39941034360811</v>
      </c>
      <c r="Y26" s="53">
        <v>212.25568000000001</v>
      </c>
      <c r="Z26" s="61"/>
    </row>
    <row r="27" spans="1:26" x14ac:dyDescent="0.25">
      <c r="A27" s="60">
        <v>201402</v>
      </c>
      <c r="B27" s="60">
        <v>26</v>
      </c>
      <c r="C27" s="60" t="s">
        <v>119</v>
      </c>
      <c r="D27" s="64">
        <f>(STC!AA42+'MTC Zain'!AA42+'Etihad Atheeb'!AA43+'Etihad Etisalat (mobily)'!AA42)*1000</f>
        <v>13380662000</v>
      </c>
      <c r="E27" s="63">
        <f>(STC!AA25+'MTC Zain'!AA25+'Etihad Atheeb'!AA26+'Etihad Etisalat (mobily)'!AA25)*1000</f>
        <v>1457284000</v>
      </c>
      <c r="F27" s="64">
        <f>(STC!AA10+'MTC Zain'!AA10+'Etihad Atheeb'!AA11+'Etihad Etisalat (mobily)'!AA10)*1000</f>
        <v>166888998000</v>
      </c>
      <c r="G27" s="63">
        <f>(STC!AA32+'MTC Zain'!AA32+'Etihad Atheeb'!AA33+'Etihad Etisalat (mobily)'!AA32)*1000</f>
        <v>3725872000</v>
      </c>
      <c r="H27" s="145">
        <f>(STC!AA$9+'MTC Zain'!AA$9+'Etihad Etisalat (mobily)'!AA$9+'Etihad Atheeb'!AA$9)*1000</f>
        <v>4054030000</v>
      </c>
      <c r="I27" s="63">
        <f>(STC!AA14+'MTC Zain'!AA14+'Etihad Atheeb'!AA15+'Etihad Etisalat (mobily)'!AA14)*1000</f>
        <v>35954828000</v>
      </c>
      <c r="J27" s="73">
        <f t="shared" si="2"/>
        <v>162834968000</v>
      </c>
      <c r="K27" s="61">
        <f t="shared" si="21"/>
        <v>9.1819178691318921</v>
      </c>
      <c r="L27" s="61">
        <f t="shared" si="3"/>
        <v>8.21731484603479E-2</v>
      </c>
      <c r="M27" s="61">
        <f t="shared" si="0"/>
        <v>0.89109029134731899</v>
      </c>
      <c r="N27" s="61">
        <f t="shared" si="4"/>
        <v>3.3005828767917356</v>
      </c>
      <c r="O27" s="61">
        <f t="shared" si="12"/>
        <v>10.073008160479212</v>
      </c>
      <c r="P27" s="61">
        <f t="shared" si="6"/>
        <v>13.373591037270948</v>
      </c>
      <c r="Q27" s="61">
        <f t="shared" si="7"/>
        <v>10.155181308939559</v>
      </c>
      <c r="R27" s="61">
        <f t="shared" si="8"/>
        <v>13.455764185731294</v>
      </c>
      <c r="S27" s="53">
        <f>ARPU!F27</f>
        <v>227.70378431372549</v>
      </c>
      <c r="T27" s="53">
        <f t="shared" si="18"/>
        <v>0.10362647263950199</v>
      </c>
      <c r="U27" s="53">
        <f t="shared" si="19"/>
        <v>2.2325450117448725E-2</v>
      </c>
      <c r="V27" s="53">
        <f>AVERAGE(STC!AA$53,'MTC Zain'!AA$53,'Etihad Etisalat (mobily)'!AA$53,'Etihad Atheeb'!AA$54)</f>
        <v>15.691337932851512</v>
      </c>
      <c r="W27" s="53">
        <f>AVERAGE(STC!AA$51,'MTC Zain'!AA$51,'Etihad Etisalat (mobily)'!AA$51,'Etihad Atheeb'!AA$52)</f>
        <v>0.71563188841694858</v>
      </c>
      <c r="X27" s="61">
        <f t="shared" si="20"/>
        <v>225.94113078103814</v>
      </c>
      <c r="Y27" s="53">
        <v>227.70378431372549</v>
      </c>
      <c r="Z27" s="61"/>
    </row>
    <row r="28" spans="1:26" x14ac:dyDescent="0.25">
      <c r="A28" s="60">
        <v>201403</v>
      </c>
      <c r="B28" s="60">
        <v>27</v>
      </c>
      <c r="C28" s="60" t="s">
        <v>120</v>
      </c>
      <c r="D28" s="64">
        <f>(STC!AB42+'MTC Zain'!AB42+'Etihad Atheeb'!AB43+'Etihad Etisalat (mobily)'!AB42)*1000</f>
        <v>14295955000</v>
      </c>
      <c r="E28" s="63">
        <f>(STC!AB25+'MTC Zain'!AB25+'Etihad Atheeb'!AB26+'Etihad Etisalat (mobily)'!AB25)*1000</f>
        <v>1564550000</v>
      </c>
      <c r="F28" s="64">
        <f>(STC!AB10+'MTC Zain'!AB10+'Etihad Atheeb'!AB11+'Etihad Etisalat (mobily)'!AB10)*1000</f>
        <v>169065064000</v>
      </c>
      <c r="G28" s="63">
        <f>(STC!AB32+'MTC Zain'!AB32+'Etihad Atheeb'!AB33+'Etihad Etisalat (mobily)'!AB32)*1000</f>
        <v>3150125000</v>
      </c>
      <c r="H28" s="145">
        <f>(STC!AB$9+'MTC Zain'!AB$9+'Etihad Etisalat (mobily)'!AB$9+'Etihad Atheeb'!AB$9)*1000</f>
        <v>4295279000</v>
      </c>
      <c r="I28" s="63">
        <f>(STC!AB14+'MTC Zain'!AB14+'Etihad Atheeb'!AB15+'Etihad Etisalat (mobily)'!AB14)*1000</f>
        <v>26959448000</v>
      </c>
      <c r="J28" s="73">
        <f t="shared" si="2"/>
        <v>164769785000</v>
      </c>
      <c r="K28" s="61">
        <f t="shared" si="21"/>
        <v>9.1374229011536858</v>
      </c>
      <c r="L28" s="61">
        <f t="shared" si="3"/>
        <v>8.6763207222732008E-2</v>
      </c>
      <c r="M28" s="61">
        <f t="shared" si="0"/>
        <v>0.89055995209833827</v>
      </c>
      <c r="N28" s="61">
        <f t="shared" si="4"/>
        <v>3.328294855817282</v>
      </c>
      <c r="O28" s="61">
        <f t="shared" si="12"/>
        <v>10.027982853252023</v>
      </c>
      <c r="P28" s="61">
        <f t="shared" si="6"/>
        <v>13.356277709069305</v>
      </c>
      <c r="Q28" s="61">
        <f t="shared" si="7"/>
        <v>10.114746060474756</v>
      </c>
      <c r="R28" s="61">
        <f t="shared" si="8"/>
        <v>13.443040916292038</v>
      </c>
      <c r="S28" s="53">
        <f>ARPU!F28</f>
        <v>230.55344230769231</v>
      </c>
      <c r="T28" s="53">
        <f t="shared" si="18"/>
        <v>0.11684679152184421</v>
      </c>
      <c r="U28" s="53">
        <f t="shared" si="19"/>
        <v>1.863261945117177E-2</v>
      </c>
      <c r="V28" s="53">
        <f>AVERAGE(STC!AB$53,'MTC Zain'!AB$53,'Etihad Etisalat (mobily)'!AB$53,'Etihad Atheeb'!AB$54)</f>
        <v>15.036822921351831</v>
      </c>
      <c r="W28" s="53">
        <f>AVERAGE(STC!AB$51,'MTC Zain'!AB$51,'Etihad Etisalat (mobily)'!AB$51,'Etihad Atheeb'!AB$52)</f>
        <v>0.5849639779220841</v>
      </c>
      <c r="X28" s="61">
        <f t="shared" si="20"/>
        <v>231.29015424123068</v>
      </c>
      <c r="Y28" s="53">
        <v>230.55344230769231</v>
      </c>
      <c r="Z28" s="61"/>
    </row>
    <row r="29" spans="1:26" x14ac:dyDescent="0.25">
      <c r="A29" s="60">
        <v>201404</v>
      </c>
      <c r="B29" s="60">
        <v>28</v>
      </c>
      <c r="C29" s="60" t="s">
        <v>121</v>
      </c>
      <c r="D29" s="64">
        <f>(STC!AC42+'MTC Zain'!AC42+'Etihad Atheeb'!AC43+'Etihad Etisalat (mobily)'!AC42)*1000</f>
        <v>14434450000</v>
      </c>
      <c r="E29" s="63">
        <f>(STC!AC25+'MTC Zain'!AC25+'Etihad Atheeb'!AC26+'Etihad Etisalat (mobily)'!AC25)*1000</f>
        <v>1962951000</v>
      </c>
      <c r="F29" s="64">
        <f>(STC!AC10+'MTC Zain'!AC10+'Etihad Atheeb'!AC11+'Etihad Etisalat (mobily)'!AC10)*1000</f>
        <v>170906780000</v>
      </c>
      <c r="G29" s="63">
        <f>(STC!AC32+'MTC Zain'!AC32+'Etihad Atheeb'!AC33+'Etihad Etisalat (mobily)'!AC32)*1000</f>
        <v>512452000</v>
      </c>
      <c r="H29" s="145">
        <f>(STC!AC$9+'MTC Zain'!AC$9+'Etihad Etisalat (mobily)'!AC$9+'Etihad Atheeb'!AC$9)*1000</f>
        <v>5208572000</v>
      </c>
      <c r="I29" s="63">
        <f>(STC!AC14+'MTC Zain'!AC14+'Etihad Atheeb'!AC15+'Etihad Etisalat (mobily)'!AC14)*1000</f>
        <v>83323457000</v>
      </c>
      <c r="J29" s="73">
        <f t="shared" si="2"/>
        <v>165698208000</v>
      </c>
      <c r="K29" s="61">
        <f t="shared" si="21"/>
        <v>7.3534438709881194</v>
      </c>
      <c r="L29" s="61">
        <f t="shared" si="3"/>
        <v>8.7112891407974666E-2</v>
      </c>
      <c r="M29" s="61">
        <f t="shared" si="0"/>
        <v>0.86400929720217956</v>
      </c>
      <c r="N29" s="61">
        <f t="shared" si="4"/>
        <v>2.7712874085257919</v>
      </c>
      <c r="O29" s="61">
        <f t="shared" si="12"/>
        <v>8.2174531681902998</v>
      </c>
      <c r="P29" s="61">
        <f t="shared" si="6"/>
        <v>10.988740576716092</v>
      </c>
      <c r="Q29" s="61">
        <f t="shared" si="7"/>
        <v>8.3045660595982724</v>
      </c>
      <c r="R29" s="61">
        <f t="shared" si="8"/>
        <v>11.075853468124064</v>
      </c>
      <c r="S29" s="53">
        <f>ARPU!F29</f>
        <v>235.43535849056605</v>
      </c>
      <c r="T29" s="53">
        <f t="shared" si="18"/>
        <v>6.1501528915200911E-3</v>
      </c>
      <c r="U29" s="53">
        <f t="shared" si="19"/>
        <v>2.9984299043022168E-3</v>
      </c>
      <c r="V29" s="53">
        <f>AVERAGE(STC!AC$53,'MTC Zain'!AC$53,'Etihad Etisalat (mobily)'!AC$53,'Etihad Atheeb'!AC$54)</f>
        <v>15.867218583916934</v>
      </c>
      <c r="W29" s="53">
        <f>AVERAGE(STC!AC$51,'MTC Zain'!AC$51,'Etihad Etisalat (mobily)'!AC$51,'Etihad Atheeb'!AC$52)</f>
        <v>0.60309990284686643</v>
      </c>
      <c r="X29" s="61">
        <f t="shared" si="20"/>
        <v>218.08038232865073</v>
      </c>
      <c r="Y29" s="53">
        <v>235.43535849056605</v>
      </c>
      <c r="Z29" s="61"/>
    </row>
    <row r="30" spans="1:26" x14ac:dyDescent="0.25">
      <c r="A30" s="60">
        <v>201501</v>
      </c>
      <c r="B30" s="60">
        <v>29</v>
      </c>
      <c r="C30" s="60" t="s">
        <v>122</v>
      </c>
      <c r="D30" s="64">
        <f>(STC!AD42+'MTC Zain'!AD42+'Etihad Atheeb'!AD43+'Etihad Etisalat (mobily)'!AD42)*1000</f>
        <v>12757367000</v>
      </c>
      <c r="E30" s="63">
        <f>(STC!AD25+'MTC Zain'!AD25+'Etihad Atheeb'!AD26+'Etihad Etisalat (mobily)'!AD25)*1000</f>
        <v>1463081000</v>
      </c>
      <c r="F30" s="64">
        <f>(STC!AD10+'MTC Zain'!AD10+'Etihad Atheeb'!AD11+'Etihad Etisalat (mobily)'!AD10)*1000</f>
        <v>168335576000</v>
      </c>
      <c r="G30" s="63">
        <f>(STC!AD32+'MTC Zain'!AD32+'Etihad Atheeb'!AD33+'Etihad Etisalat (mobily)'!AD32)*1000</f>
        <v>2168564000</v>
      </c>
      <c r="H30" s="145">
        <f>(STC!AD$9+'MTC Zain'!AD$9+'Etihad Etisalat (mobily)'!AD$9+'Etihad Atheeb'!AD$9)*1000</f>
        <v>4291136000</v>
      </c>
      <c r="I30" s="63">
        <f>(STC!AD14+'MTC Zain'!AD14+'Etihad Atheeb'!AD15+'Etihad Etisalat (mobily)'!AD14)*1000</f>
        <v>82707583000</v>
      </c>
      <c r="J30" s="73">
        <f t="shared" si="2"/>
        <v>164044440000</v>
      </c>
      <c r="K30" s="61">
        <f t="shared" si="21"/>
        <v>8.7195220223623977</v>
      </c>
      <c r="L30" s="61">
        <f t="shared" si="3"/>
        <v>7.7767750007254138E-2</v>
      </c>
      <c r="M30" s="61">
        <f t="shared" si="0"/>
        <v>0.88531481456949546</v>
      </c>
      <c r="N30" s="61">
        <f t="shared" si="4"/>
        <v>2.9729579766290324</v>
      </c>
      <c r="O30" s="61">
        <f t="shared" si="12"/>
        <v>9.6048368369318933</v>
      </c>
      <c r="P30" s="61">
        <f t="shared" si="6"/>
        <v>12.577794813560926</v>
      </c>
      <c r="Q30" s="61">
        <f t="shared" si="7"/>
        <v>9.6826045869391475</v>
      </c>
      <c r="R30" s="61">
        <f t="shared" si="8"/>
        <v>12.65556256356818</v>
      </c>
      <c r="S30" s="53">
        <f>ARPU!F30</f>
        <v>209.87160231660232</v>
      </c>
      <c r="T30" s="53">
        <f t="shared" si="18"/>
        <v>2.621965146774994E-2</v>
      </c>
      <c r="U30" s="53">
        <f t="shared" si="19"/>
        <v>1.2882386786736037E-2</v>
      </c>
      <c r="V30" s="53">
        <f>AVERAGE(STC!AD$53,'MTC Zain'!AD$53,'Etihad Etisalat (mobily)'!AD$53,'Etihad Atheeb'!AD$54)</f>
        <v>13.747942391503093</v>
      </c>
      <c r="W30" s="53">
        <f>AVERAGE(STC!AD$51,'MTC Zain'!AD$51,'Etihad Etisalat (mobily)'!AD$51,'Etihad Atheeb'!AD$52)</f>
        <v>0.60043943815883705</v>
      </c>
      <c r="X30" s="61">
        <f t="shared" si="20"/>
        <v>209.64795952040726</v>
      </c>
      <c r="Y30" s="53">
        <v>209.87160231660232</v>
      </c>
      <c r="Z30" s="61"/>
    </row>
    <row r="31" spans="1:26" x14ac:dyDescent="0.25">
      <c r="A31" s="60">
        <v>201502</v>
      </c>
      <c r="B31" s="60">
        <v>30</v>
      </c>
      <c r="C31" s="60" t="s">
        <v>124</v>
      </c>
      <c r="D31" s="64">
        <f>(STC!AF42+'MTC Zain'!AF42+'Etihad Atheeb'!AF43+'Etihad Etisalat (mobily)'!AF42)*1000</f>
        <v>13467729000</v>
      </c>
      <c r="E31" s="63">
        <f>(STC!AF25+'MTC Zain'!AF25+'Etihad Atheeb'!AF26+'Etihad Etisalat (mobily)'!AF25)*1000</f>
        <v>1948957000</v>
      </c>
      <c r="F31" s="64">
        <f>(STC!AF10+'MTC Zain'!AF10+'Etihad Atheeb'!AF11+'Etihad Etisalat (mobily)'!AF10)*1000</f>
        <v>167543432000</v>
      </c>
      <c r="G31" s="63">
        <f>(STC!AF32+'MTC Zain'!AF32+'Etihad Atheeb'!AF33+'Etihad Etisalat (mobily)'!AF32)*1000</f>
        <v>1944486000</v>
      </c>
      <c r="H31" s="145">
        <f>(STC!AF$9+'MTC Zain'!AF$9+'Etihad Etisalat (mobily)'!AF$9+'Etihad Atheeb'!AF$9)*1000</f>
        <v>5241331000</v>
      </c>
      <c r="I31" s="63">
        <f>(STC!AF14+'MTC Zain'!AF14+'Etihad Atheeb'!AF15+'Etihad Etisalat (mobily)'!AF14)*1000</f>
        <v>81258806000</v>
      </c>
      <c r="J31" s="73">
        <f t="shared" si="2"/>
        <v>162302101000</v>
      </c>
      <c r="K31" s="61">
        <f t="shared" si="21"/>
        <v>6.9102237761017813</v>
      </c>
      <c r="L31" s="61">
        <f t="shared" si="3"/>
        <v>8.2979387925483483E-2</v>
      </c>
      <c r="M31" s="61">
        <f t="shared" si="0"/>
        <v>0.85528688615578763</v>
      </c>
      <c r="N31" s="61">
        <f t="shared" si="4"/>
        <v>2.5695246112103969</v>
      </c>
      <c r="O31" s="61">
        <f t="shared" si="12"/>
        <v>7.7655106622575687</v>
      </c>
      <c r="P31" s="61">
        <f t="shared" si="6"/>
        <v>10.335035273467966</v>
      </c>
      <c r="Q31" s="61">
        <f t="shared" si="7"/>
        <v>7.8484900501830523</v>
      </c>
      <c r="R31" s="61">
        <f t="shared" si="8"/>
        <v>10.41801466139345</v>
      </c>
      <c r="S31" s="53">
        <f>ARPU!F31</f>
        <v>201.96179389312977</v>
      </c>
      <c r="T31" s="53">
        <f t="shared" si="18"/>
        <v>2.392954186405348E-2</v>
      </c>
      <c r="U31" s="53">
        <f t="shared" si="19"/>
        <v>1.1605862293664846E-2</v>
      </c>
      <c r="V31" s="53">
        <f>AVERAGE(STC!AF$53,'MTC Zain'!AF$53,'Etihad Etisalat (mobily)'!AF$53,'Etihad Atheeb'!AF$54)</f>
        <v>13.104455983869855</v>
      </c>
      <c r="W31" s="53">
        <f>AVERAGE(STC!AF$51,'MTC Zain'!AF$51,'Etihad Etisalat (mobily)'!AF$51,'Etihad Atheeb'!AF$52)</f>
        <v>0.61686362968178909</v>
      </c>
      <c r="X31" s="61">
        <f t="shared" si="20"/>
        <v>198.67414076619386</v>
      </c>
      <c r="Y31" s="53">
        <v>201.96179389312977</v>
      </c>
      <c r="Z31" s="61"/>
    </row>
    <row r="32" spans="1:26" x14ac:dyDescent="0.25">
      <c r="A32" s="60">
        <v>201503</v>
      </c>
      <c r="B32" s="60">
        <v>31</v>
      </c>
      <c r="C32" s="60" t="s">
        <v>123</v>
      </c>
      <c r="D32" s="64">
        <f>(STC!AE42+'MTC Zain'!AE42+'Etihad Atheeb'!AE43+'Etihad Etisalat (mobily)'!AE42)*1000</f>
        <v>13792247000</v>
      </c>
      <c r="E32" s="63">
        <f>(STC!AE25+'MTC Zain'!AE25+'Etihad Atheeb'!AE26+'Etihad Etisalat (mobily)'!AE25)*1000</f>
        <v>2525204000</v>
      </c>
      <c r="F32" s="64">
        <f>(STC!AE10+'MTC Zain'!AE10+'Etihad Atheeb'!AE11+'Etihad Etisalat (mobily)'!AE10)*1000</f>
        <v>168066422000</v>
      </c>
      <c r="G32" s="63">
        <f>(STC!AE32+'MTC Zain'!AE32+'Etihad Atheeb'!AE33+'Etihad Etisalat (mobily)'!AE32)*1000</f>
        <v>1416104000</v>
      </c>
      <c r="H32" s="145">
        <f>(STC!AE$9+'MTC Zain'!AE$9+'Etihad Etisalat (mobily)'!AE$9+'Etihad Atheeb'!AE$9)*1000</f>
        <v>5000317000</v>
      </c>
      <c r="I32" s="63">
        <f>(STC!AE14+'MTC Zain'!AE14+'Etihad Atheeb'!AE15+'Etihad Etisalat (mobily)'!AE14)*1000</f>
        <v>81939902000</v>
      </c>
      <c r="J32" s="73">
        <f t="shared" si="2"/>
        <v>163066105000</v>
      </c>
      <c r="K32" s="61">
        <f t="shared" si="21"/>
        <v>5.4618347666168754</v>
      </c>
      <c r="L32" s="61">
        <f t="shared" si="3"/>
        <v>8.4580710381228524E-2</v>
      </c>
      <c r="M32" s="61">
        <f t="shared" si="0"/>
        <v>0.81691134156747625</v>
      </c>
      <c r="N32" s="61">
        <f t="shared" si="4"/>
        <v>2.7582745253950898</v>
      </c>
      <c r="O32" s="61">
        <f t="shared" si="12"/>
        <v>6.2787461081843521</v>
      </c>
      <c r="P32" s="61">
        <f t="shared" si="6"/>
        <v>9.0370206335794414</v>
      </c>
      <c r="Q32" s="61">
        <f t="shared" si="7"/>
        <v>6.3633268185655805</v>
      </c>
      <c r="R32" s="61">
        <f t="shared" si="8"/>
        <v>9.1216013439606698</v>
      </c>
      <c r="S32" s="53">
        <f>ARPU!F32</f>
        <v>213.04020754716981</v>
      </c>
      <c r="T32" s="53">
        <f t="shared" si="18"/>
        <v>1.7282227162048594E-2</v>
      </c>
      <c r="U32" s="53">
        <f t="shared" si="19"/>
        <v>8.4258591522820663E-3</v>
      </c>
      <c r="V32" s="53">
        <f>AVERAGE(STC!AE$53,'MTC Zain'!AE$53,'Etihad Etisalat (mobily)'!AE$53,'Etihad Atheeb'!AE$54)</f>
        <v>15.324413570702035</v>
      </c>
      <c r="W32" s="53">
        <f>AVERAGE(STC!AE$51,'MTC Zain'!AE$51,'Etihad Etisalat (mobily)'!AE$51,'Etihad Atheeb'!AE$52)</f>
        <v>0.61267491474542946</v>
      </c>
      <c r="X32" s="61">
        <f t="shared" si="20"/>
        <v>205.77577507425872</v>
      </c>
      <c r="Y32" s="53">
        <v>213.04020754716981</v>
      </c>
      <c r="Z32" s="61"/>
    </row>
    <row r="33" spans="1:26" x14ac:dyDescent="0.25">
      <c r="A33" s="60">
        <v>201504</v>
      </c>
      <c r="B33" s="60">
        <v>32</v>
      </c>
      <c r="C33" s="60" t="s">
        <v>125</v>
      </c>
      <c r="D33" s="64">
        <f>(STC!AG42+'MTC Zain'!AG42+'Etihad Atheeb'!AG43+'Etihad Etisalat (mobily)'!AG42)*1000</f>
        <v>13502639000</v>
      </c>
      <c r="E33" s="63">
        <f>(STC!AG25+'MTC Zain'!AG25+'Etihad Atheeb'!AG26+'Etihad Etisalat (mobily)'!AG25)*1000</f>
        <v>2018565000</v>
      </c>
      <c r="F33" s="64">
        <f>(STC!AG10+'MTC Zain'!AG10+'Etihad Atheeb'!AG11+'Etihad Etisalat (mobily)'!AG10)*1000</f>
        <v>167871351000</v>
      </c>
      <c r="G33" s="63">
        <f>(STC!AG32+'MTC Zain'!AG32+'Etihad Atheeb'!AG33+'Etihad Etisalat (mobily)'!AG32)*1000</f>
        <v>1621097000</v>
      </c>
      <c r="H33" s="145">
        <f>(STC!AG$9+'MTC Zain'!AG$9+'Etihad Etisalat (mobily)'!AG$9+'Etihad Atheeb'!AG$9)*1000</f>
        <v>4348998000</v>
      </c>
      <c r="I33" s="63">
        <f>(STC!AG14+'MTC Zain'!AG14+'Etihad Atheeb'!AG15+'Etihad Etisalat (mobily)'!AG14)*1000</f>
        <v>81282984000</v>
      </c>
      <c r="J33" s="73">
        <f t="shared" si="2"/>
        <v>163522353000</v>
      </c>
      <c r="K33" s="61">
        <f t="shared" si="21"/>
        <v>6.6892267526683558</v>
      </c>
      <c r="L33" s="61">
        <f t="shared" si="3"/>
        <v>8.2573658905214023E-2</v>
      </c>
      <c r="M33" s="61">
        <f t="shared" si="0"/>
        <v>0.85050588999676291</v>
      </c>
      <c r="N33" s="61">
        <f t="shared" si="4"/>
        <v>3.1047701102644791</v>
      </c>
      <c r="O33" s="61">
        <f t="shared" si="12"/>
        <v>7.5397326426651183</v>
      </c>
      <c r="P33" s="61">
        <f t="shared" si="6"/>
        <v>10.644502752929597</v>
      </c>
      <c r="Q33" s="61">
        <f t="shared" si="7"/>
        <v>7.6223063015703323</v>
      </c>
      <c r="R33" s="61">
        <f t="shared" si="8"/>
        <v>10.727076411834812</v>
      </c>
      <c r="S33" s="53">
        <f>ARPU!F33</f>
        <v>218.47496226415095</v>
      </c>
      <c r="T33" s="53">
        <f t="shared" si="18"/>
        <v>1.994386672615267E-2</v>
      </c>
      <c r="U33" s="53">
        <f t="shared" si="19"/>
        <v>9.6567817578354989E-3</v>
      </c>
      <c r="V33" s="53">
        <f>AVERAGE(STC!AG$53,'MTC Zain'!AG$53,'Etihad Etisalat (mobily)'!AG$53,'Etihad Atheeb'!AG$54)</f>
        <v>13.112698751345082</v>
      </c>
      <c r="W33" s="53">
        <f>AVERAGE(STC!AG$51,'MTC Zain'!AG$51,'Etihad Etisalat (mobily)'!AG$51,'Etihad Atheeb'!AG$52)</f>
        <v>0.62723867856777771</v>
      </c>
      <c r="X33" s="61">
        <f t="shared" si="20"/>
        <v>206.06013308453288</v>
      </c>
      <c r="Y33" s="53">
        <v>218.47496226415095</v>
      </c>
      <c r="Z33" s="61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6"/>
  <sheetViews>
    <sheetView workbookViewId="0">
      <selection activeCell="J5" sqref="J5"/>
    </sheetView>
  </sheetViews>
  <sheetFormatPr defaultRowHeight="15" x14ac:dyDescent="0.25"/>
  <cols>
    <col min="2" max="2" width="9.140625" style="60"/>
    <col min="4" max="4" width="11.28515625" bestFit="1" customWidth="1"/>
    <col min="5" max="5" width="16.85546875" style="55" bestFit="1" customWidth="1"/>
    <col min="6" max="6" width="6.5703125" style="56" bestFit="1" customWidth="1"/>
    <col min="7" max="7" width="9.42578125" style="60" customWidth="1"/>
  </cols>
  <sheetData>
    <row r="1" spans="1:12" x14ac:dyDescent="0.25">
      <c r="B1" s="60" t="s">
        <v>91</v>
      </c>
      <c r="C1" s="45" t="str">
        <f>'SPSS Format'!A1</f>
        <v>YearQtr</v>
      </c>
      <c r="D1" s="54" t="s">
        <v>88</v>
      </c>
      <c r="E1" s="57" t="s">
        <v>87</v>
      </c>
      <c r="F1" s="45" t="s">
        <v>89</v>
      </c>
      <c r="G1" s="60" t="s">
        <v>108</v>
      </c>
      <c r="L1" t="s">
        <v>90</v>
      </c>
    </row>
    <row r="2" spans="1:12" x14ac:dyDescent="0.25">
      <c r="B2" s="60">
        <v>1</v>
      </c>
      <c r="C2">
        <v>200801</v>
      </c>
      <c r="D2" s="55">
        <v>30000000</v>
      </c>
      <c r="E2" s="58">
        <f>(STC!B24+'MTC Zain'!B24+'Etihad Atheeb'!B25+'Etihad Etisalat (mobily)'!B24)*1000</f>
        <v>5790263000</v>
      </c>
      <c r="F2" s="50">
        <f t="shared" ref="F2:F8" si="0">E2/D2</f>
        <v>193.00876666666667</v>
      </c>
    </row>
    <row r="3" spans="1:12" x14ac:dyDescent="0.25">
      <c r="B3" s="60">
        <f>B2+1</f>
        <v>2</v>
      </c>
      <c r="C3" s="8">
        <v>200802</v>
      </c>
      <c r="D3" s="55">
        <v>32000000</v>
      </c>
      <c r="E3" s="58">
        <f>(STC!C24+'MTC Zain'!C24+'Etihad Atheeb'!C25+'Etihad Etisalat (mobily)'!C24)*1000</f>
        <v>6880759000</v>
      </c>
      <c r="F3" s="50">
        <f t="shared" si="0"/>
        <v>215.02371875</v>
      </c>
      <c r="G3" s="67">
        <f>(D3-D2)/D2</f>
        <v>6.6666666666666666E-2</v>
      </c>
    </row>
    <row r="4" spans="1:12" x14ac:dyDescent="0.25">
      <c r="B4" s="60">
        <f t="shared" ref="B4:B33" si="1">B3+1</f>
        <v>3</v>
      </c>
      <c r="C4" s="8">
        <v>200803</v>
      </c>
      <c r="D4" s="55">
        <v>34000000</v>
      </c>
      <c r="E4" s="58">
        <f>(STC!D24+'MTC Zain'!D24+'Etihad Atheeb'!D25+'Etihad Etisalat (mobily)'!D24)*1000</f>
        <v>7171622000</v>
      </c>
      <c r="F4" s="50">
        <f t="shared" si="0"/>
        <v>210.93005882352941</v>
      </c>
      <c r="G4" s="67">
        <f t="shared" ref="G4:G33" si="2">(D4-D3)/D3</f>
        <v>6.25E-2</v>
      </c>
    </row>
    <row r="5" spans="1:12" x14ac:dyDescent="0.25">
      <c r="B5" s="60">
        <f t="shared" si="1"/>
        <v>4</v>
      </c>
      <c r="C5" s="8">
        <v>200804</v>
      </c>
      <c r="D5" s="55">
        <v>36000000</v>
      </c>
      <c r="E5" s="58">
        <f>(STC!E24+'MTC Zain'!E24+'Etihad Atheeb'!E25+'Etihad Etisalat (mobily)'!E24)*1000</f>
        <v>5234270000</v>
      </c>
      <c r="F5" s="50">
        <f t="shared" si="0"/>
        <v>145.39638888888888</v>
      </c>
      <c r="G5" s="67">
        <f t="shared" si="2"/>
        <v>5.8823529411764705E-2</v>
      </c>
    </row>
    <row r="6" spans="1:12" x14ac:dyDescent="0.25">
      <c r="B6" s="60">
        <f t="shared" si="1"/>
        <v>5</v>
      </c>
      <c r="C6">
        <v>200901</v>
      </c>
      <c r="D6" s="55">
        <v>37400000</v>
      </c>
      <c r="E6" s="58">
        <f>(STC!F24+'MTC Zain'!F24+'Etihad Atheeb'!F25+'Etihad Etisalat (mobily)'!F24)*1000</f>
        <v>6345314000</v>
      </c>
      <c r="F6" s="50">
        <f t="shared" si="0"/>
        <v>169.66080213903743</v>
      </c>
      <c r="G6" s="67">
        <f t="shared" si="2"/>
        <v>3.888888888888889E-2</v>
      </c>
    </row>
    <row r="7" spans="1:12" x14ac:dyDescent="0.25">
      <c r="B7" s="60">
        <f t="shared" si="1"/>
        <v>6</v>
      </c>
      <c r="C7" s="8">
        <v>200902</v>
      </c>
      <c r="D7" s="55">
        <v>39700000</v>
      </c>
      <c r="E7" s="58">
        <f>(STC!G24+'MTC Zain'!G24+'Etihad Atheeb'!G25+'Etihad Etisalat (mobily)'!G24)*1000</f>
        <v>5724333000</v>
      </c>
      <c r="F7" s="50">
        <f t="shared" si="0"/>
        <v>144.18974811083123</v>
      </c>
      <c r="G7" s="67">
        <f t="shared" si="2"/>
        <v>6.1497326203208559E-2</v>
      </c>
    </row>
    <row r="8" spans="1:12" x14ac:dyDescent="0.25">
      <c r="B8" s="60">
        <f t="shared" si="1"/>
        <v>7</v>
      </c>
      <c r="C8" s="8">
        <v>200903</v>
      </c>
      <c r="D8" s="55">
        <v>41100000</v>
      </c>
      <c r="E8" s="55">
        <f>(STC!H24+'MTC Zain'!H24+'Etihad Atheeb'!H25+'Etihad Etisalat (mobily)'!H24)*1000</f>
        <v>5678130000</v>
      </c>
      <c r="F8" s="50">
        <f t="shared" si="0"/>
        <v>138.15401459854016</v>
      </c>
      <c r="G8" s="67">
        <f t="shared" si="2"/>
        <v>3.5264483627204031E-2</v>
      </c>
    </row>
    <row r="9" spans="1:12" x14ac:dyDescent="0.25">
      <c r="B9" s="60">
        <f t="shared" si="1"/>
        <v>8</v>
      </c>
      <c r="C9" s="8">
        <v>200904</v>
      </c>
      <c r="D9" s="55">
        <v>44800000</v>
      </c>
      <c r="E9" s="55">
        <f>(STC!I24+'MTC Zain'!I24+'Etihad Atheeb'!I25+'Etihad Etisalat (mobily)'!I24)*1000</f>
        <v>5350245000</v>
      </c>
      <c r="F9" s="50">
        <f>E9/D9</f>
        <v>119.42511160714285</v>
      </c>
      <c r="G9" s="67">
        <f t="shared" si="2"/>
        <v>9.002433090024331E-2</v>
      </c>
    </row>
    <row r="10" spans="1:12" x14ac:dyDescent="0.25">
      <c r="B10" s="60">
        <f t="shared" si="1"/>
        <v>9</v>
      </c>
      <c r="C10">
        <v>201001</v>
      </c>
      <c r="D10" s="55">
        <f>D9+(D11-D9)</f>
        <v>47000000</v>
      </c>
      <c r="E10" s="55">
        <f>(STC!J24+'MTC Zain'!J24+'Etihad Atheeb'!J25+'Etihad Etisalat (mobily)'!J24)*1000</f>
        <v>9916692000</v>
      </c>
      <c r="F10" s="50">
        <f>E10/D10</f>
        <v>210.99344680851064</v>
      </c>
      <c r="G10" s="67">
        <f t="shared" si="2"/>
        <v>4.9107142857142856E-2</v>
      </c>
    </row>
    <row r="11" spans="1:12" x14ac:dyDescent="0.25">
      <c r="B11" s="60">
        <f t="shared" si="1"/>
        <v>10</v>
      </c>
      <c r="C11">
        <v>201002</v>
      </c>
      <c r="D11" s="55">
        <v>47000000</v>
      </c>
      <c r="E11" s="58">
        <f>(STC!K24+'MTC Zain'!K24+'Etihad Atheeb'!K25+'Etihad Etisalat (mobily)'!K24)*1000</f>
        <v>10206494000</v>
      </c>
      <c r="F11" s="50">
        <f>E11/D11</f>
        <v>217.15944680851064</v>
      </c>
      <c r="G11" s="67">
        <f t="shared" si="2"/>
        <v>0</v>
      </c>
    </row>
    <row r="12" spans="1:12" x14ac:dyDescent="0.25">
      <c r="B12" s="60">
        <f t="shared" si="1"/>
        <v>11</v>
      </c>
      <c r="C12">
        <v>201003</v>
      </c>
      <c r="D12" s="55">
        <v>48600000</v>
      </c>
      <c r="E12" s="58">
        <f>(STC!L24+'MTC Zain'!L24+'Etihad Atheeb'!L25+2309857)*1000</f>
        <v>11167751000</v>
      </c>
      <c r="F12" s="50">
        <f>E12/D12</f>
        <v>229.78911522633746</v>
      </c>
      <c r="G12" s="67">
        <f t="shared" si="2"/>
        <v>3.4042553191489362E-2</v>
      </c>
    </row>
    <row r="13" spans="1:12" x14ac:dyDescent="0.25">
      <c r="A13" t="s">
        <v>104</v>
      </c>
      <c r="B13" s="60">
        <f t="shared" si="1"/>
        <v>12</v>
      </c>
      <c r="C13" s="8">
        <v>201004</v>
      </c>
      <c r="D13" s="55">
        <v>51600000</v>
      </c>
      <c r="E13" s="58">
        <f>(STC!M24+'MTC Zain'!M24+'Etihad Atheeb'!M25+'Etihad Etisalat (mobily)'!M24)*1000</f>
        <v>11124434000</v>
      </c>
      <c r="F13" s="50">
        <f>E13/D13</f>
        <v>215.58980620155037</v>
      </c>
      <c r="G13" s="67">
        <f t="shared" si="2"/>
        <v>6.1728395061728392E-2</v>
      </c>
    </row>
    <row r="14" spans="1:12" x14ac:dyDescent="0.25">
      <c r="A14" t="s">
        <v>105</v>
      </c>
      <c r="B14" s="60">
        <f t="shared" si="1"/>
        <v>13</v>
      </c>
      <c r="C14">
        <v>201101</v>
      </c>
      <c r="D14" s="55">
        <v>53300000</v>
      </c>
      <c r="E14" s="62">
        <f>(STC!N24+'MTC Zain'!N24+'Etihad Atheeb'!N25+'Etihad Etisalat (mobily)'!N24)*1000</f>
        <v>10755957000</v>
      </c>
      <c r="F14" s="50">
        <f t="shared" ref="F14:F33" si="3">E14/D14</f>
        <v>201.80031894934334</v>
      </c>
      <c r="G14" s="67">
        <f t="shared" si="2"/>
        <v>3.294573643410853E-2</v>
      </c>
    </row>
    <row r="15" spans="1:12" x14ac:dyDescent="0.25">
      <c r="A15" t="s">
        <v>106</v>
      </c>
      <c r="B15" s="60">
        <f t="shared" si="1"/>
        <v>14</v>
      </c>
      <c r="C15" s="8">
        <v>201102</v>
      </c>
      <c r="D15" s="55">
        <v>54800000</v>
      </c>
      <c r="E15" s="62">
        <f>(STC!O24+'MTC Zain'!O24+'Etihad Atheeb'!O25+'Etihad Etisalat (mobily)'!O24)*1000</f>
        <v>11635644000</v>
      </c>
      <c r="F15" s="50">
        <f t="shared" si="3"/>
        <v>212.3292700729927</v>
      </c>
      <c r="G15" s="67">
        <f t="shared" si="2"/>
        <v>2.8142589118198873E-2</v>
      </c>
    </row>
    <row r="16" spans="1:12" x14ac:dyDescent="0.25">
      <c r="A16" t="s">
        <v>107</v>
      </c>
      <c r="B16" s="60">
        <f t="shared" si="1"/>
        <v>15</v>
      </c>
      <c r="C16" s="8">
        <v>201103</v>
      </c>
      <c r="D16" s="55">
        <v>56100000</v>
      </c>
      <c r="E16" s="62">
        <f>(STC!P24+'MTC Zain'!P24+'Etihad Atheeb'!P25+'Etihad Etisalat (mobily)'!P24)*1000</f>
        <v>11595434000</v>
      </c>
      <c r="F16" s="50">
        <f t="shared" si="3"/>
        <v>206.69222816399287</v>
      </c>
      <c r="G16" s="67">
        <f t="shared" si="2"/>
        <v>2.3722627737226276E-2</v>
      </c>
    </row>
    <row r="17" spans="1:7" x14ac:dyDescent="0.25">
      <c r="A17" t="s">
        <v>109</v>
      </c>
      <c r="B17" s="60">
        <f t="shared" si="1"/>
        <v>16</v>
      </c>
      <c r="C17" s="8">
        <v>201104</v>
      </c>
      <c r="D17" s="55">
        <v>53700000</v>
      </c>
      <c r="E17" s="62">
        <f>(STC!Q24+'MTC Zain'!Q24+'Etihad Atheeb'!Q25+'Etihad Etisalat (mobily)'!Q24)*1000</f>
        <v>11196579000</v>
      </c>
      <c r="F17" s="50">
        <f t="shared" si="3"/>
        <v>208.50240223463686</v>
      </c>
      <c r="G17" s="67">
        <f t="shared" si="2"/>
        <v>-4.2780748663101602E-2</v>
      </c>
    </row>
    <row r="18" spans="1:7" x14ac:dyDescent="0.25">
      <c r="A18" t="s">
        <v>110</v>
      </c>
      <c r="B18" s="60">
        <f t="shared" si="1"/>
        <v>17</v>
      </c>
      <c r="C18">
        <v>201201</v>
      </c>
      <c r="D18" s="55">
        <v>54300000</v>
      </c>
      <c r="E18" s="62">
        <f>(STC!R24+'MTC Zain'!R24+'Etihad Atheeb'!R25+'Etihad Etisalat (mobily)'!R24)*1000</f>
        <v>12281821000</v>
      </c>
      <c r="F18" s="50">
        <f t="shared" si="3"/>
        <v>226.18454880294658</v>
      </c>
      <c r="G18" s="67">
        <f t="shared" si="2"/>
        <v>1.11731843575419E-2</v>
      </c>
    </row>
    <row r="19" spans="1:7" x14ac:dyDescent="0.25">
      <c r="A19" t="s">
        <v>111</v>
      </c>
      <c r="B19" s="60">
        <f t="shared" si="1"/>
        <v>18</v>
      </c>
      <c r="C19" s="8">
        <v>201202</v>
      </c>
      <c r="D19" s="55">
        <v>54500000</v>
      </c>
      <c r="E19" s="62">
        <f>(STC!S24+'MTC Zain'!S24+'Etihad Atheeb'!S25+'Etihad Etisalat (mobily)'!S24)*1000</f>
        <v>9487483000</v>
      </c>
      <c r="F19" s="50">
        <f t="shared" si="3"/>
        <v>174.08225688073395</v>
      </c>
      <c r="G19" s="67">
        <f t="shared" si="2"/>
        <v>3.6832412523020259E-3</v>
      </c>
    </row>
    <row r="20" spans="1:7" x14ac:dyDescent="0.25">
      <c r="A20" t="s">
        <v>112</v>
      </c>
      <c r="B20" s="60">
        <f t="shared" si="1"/>
        <v>19</v>
      </c>
      <c r="C20" s="8">
        <v>201203</v>
      </c>
      <c r="D20" s="55">
        <v>53100000</v>
      </c>
      <c r="E20" s="62">
        <f>(STC!T24+'MTC Zain'!T24+'Etihad Atheeb'!T25+'Etihad Etisalat (mobily)'!T24)*1000</f>
        <v>12468363000</v>
      </c>
      <c r="F20" s="50">
        <f t="shared" si="3"/>
        <v>234.80909604519775</v>
      </c>
      <c r="G20" s="67">
        <f t="shared" si="2"/>
        <v>-2.5688073394495414E-2</v>
      </c>
    </row>
    <row r="21" spans="1:7" x14ac:dyDescent="0.25">
      <c r="A21" t="s">
        <v>113</v>
      </c>
      <c r="B21" s="60">
        <f t="shared" si="1"/>
        <v>20</v>
      </c>
      <c r="C21" s="8">
        <v>201204</v>
      </c>
      <c r="D21" s="55">
        <v>53000000</v>
      </c>
      <c r="E21" s="62">
        <f>(STC!U24+'MTC Zain'!U24+'Etihad Atheeb'!U25+'Etihad Etisalat (mobily)'!U24)*1000</f>
        <v>12158662000</v>
      </c>
      <c r="F21" s="50">
        <f t="shared" si="3"/>
        <v>229.40871698113207</v>
      </c>
      <c r="G21" s="67">
        <f t="shared" si="2"/>
        <v>-1.8832391713747645E-3</v>
      </c>
    </row>
    <row r="22" spans="1:7" x14ac:dyDescent="0.25">
      <c r="A22" t="s">
        <v>114</v>
      </c>
      <c r="B22" s="60">
        <f t="shared" si="1"/>
        <v>21</v>
      </c>
      <c r="C22">
        <v>201301</v>
      </c>
      <c r="D22" s="55">
        <v>52000000</v>
      </c>
      <c r="E22" s="62">
        <f>(STC!V24+'MTC Zain'!V24+'Etihad Atheeb'!V25+'Etihad Etisalat (mobily)'!V24)*1000</f>
        <v>10329701000</v>
      </c>
      <c r="F22" s="50">
        <f t="shared" si="3"/>
        <v>198.64809615384615</v>
      </c>
      <c r="G22" s="67">
        <f t="shared" si="2"/>
        <v>-1.8867924528301886E-2</v>
      </c>
    </row>
    <row r="23" spans="1:7" x14ac:dyDescent="0.25">
      <c r="A23" t="s">
        <v>115</v>
      </c>
      <c r="B23" s="60">
        <f t="shared" si="1"/>
        <v>22</v>
      </c>
      <c r="C23" s="8">
        <v>201302</v>
      </c>
      <c r="D23" s="55">
        <v>52000000</v>
      </c>
      <c r="E23" s="62">
        <f>(STC!W24+'MTC Zain'!W24+'Etihad Atheeb'!W25+'Etihad Etisalat (mobily)'!W24)*1000</f>
        <v>12177112000</v>
      </c>
      <c r="F23" s="50">
        <f t="shared" si="3"/>
        <v>234.17523076923078</v>
      </c>
      <c r="G23" s="67">
        <f t="shared" si="2"/>
        <v>0</v>
      </c>
    </row>
    <row r="24" spans="1:7" x14ac:dyDescent="0.25">
      <c r="A24" t="s">
        <v>116</v>
      </c>
      <c r="B24" s="60">
        <f t="shared" si="1"/>
        <v>23</v>
      </c>
      <c r="C24" s="8">
        <v>201303</v>
      </c>
      <c r="D24" s="55">
        <v>51000000</v>
      </c>
      <c r="E24" s="62">
        <f>(STC!X24+'MTC Zain'!X24+'Etihad Atheeb'!X25+'Etihad Etisalat (mobily)'!X24)*1000</f>
        <v>12027208000</v>
      </c>
      <c r="F24" s="50">
        <f t="shared" si="3"/>
        <v>235.82760784313726</v>
      </c>
      <c r="G24" s="67">
        <f t="shared" si="2"/>
        <v>-1.9230769230769232E-2</v>
      </c>
    </row>
    <row r="25" spans="1:7" x14ac:dyDescent="0.25">
      <c r="A25" t="s">
        <v>117</v>
      </c>
      <c r="B25" s="60">
        <f t="shared" si="1"/>
        <v>24</v>
      </c>
      <c r="C25" s="8">
        <v>201304</v>
      </c>
      <c r="D25" s="55">
        <v>51000000</v>
      </c>
      <c r="E25" s="62">
        <f>(STC!Y24+'MTC Zain'!Y24+'Etihad Atheeb'!Y25+'Etihad Etisalat (mobily)'!Y24)*1000</f>
        <v>13016496000</v>
      </c>
      <c r="F25" s="50">
        <f t="shared" si="3"/>
        <v>255.22541176470588</v>
      </c>
      <c r="G25" s="67">
        <f t="shared" si="2"/>
        <v>0</v>
      </c>
    </row>
    <row r="26" spans="1:7" x14ac:dyDescent="0.25">
      <c r="A26" t="s">
        <v>118</v>
      </c>
      <c r="B26" s="60">
        <f t="shared" si="1"/>
        <v>25</v>
      </c>
      <c r="C26">
        <v>201401</v>
      </c>
      <c r="D26" s="55">
        <v>50000000</v>
      </c>
      <c r="E26" s="62">
        <f>(STC!Z24+'MTC Zain'!Z24+'Etihad Atheeb'!Z25+'Etihad Etisalat (mobily)'!Z24)*1000</f>
        <v>10612784000</v>
      </c>
      <c r="F26" s="50">
        <f t="shared" si="3"/>
        <v>212.25568000000001</v>
      </c>
      <c r="G26" s="67">
        <f t="shared" si="2"/>
        <v>-1.9607843137254902E-2</v>
      </c>
    </row>
    <row r="27" spans="1:7" x14ac:dyDescent="0.25">
      <c r="A27" t="s">
        <v>119</v>
      </c>
      <c r="B27" s="60">
        <f t="shared" si="1"/>
        <v>26</v>
      </c>
      <c r="C27" s="8">
        <v>201402</v>
      </c>
      <c r="D27" s="55">
        <v>51000000</v>
      </c>
      <c r="E27" s="62">
        <f>(STC!AA24+'MTC Zain'!AA24+'Etihad Atheeb'!AA25+'Etihad Etisalat (mobily)'!AA24)*1000</f>
        <v>11612893000</v>
      </c>
      <c r="F27" s="50">
        <f t="shared" si="3"/>
        <v>227.70378431372549</v>
      </c>
      <c r="G27" s="67">
        <f t="shared" si="2"/>
        <v>0.02</v>
      </c>
    </row>
    <row r="28" spans="1:7" x14ac:dyDescent="0.25">
      <c r="A28" t="s">
        <v>120</v>
      </c>
      <c r="B28" s="60">
        <f t="shared" si="1"/>
        <v>27</v>
      </c>
      <c r="C28" s="8">
        <v>201403</v>
      </c>
      <c r="D28" s="73">
        <f>AVERAGE(D27,D29)</f>
        <v>52000000</v>
      </c>
      <c r="E28" s="62">
        <f>(STC!AB24+'MTC Zain'!AB24+'Etihad Atheeb'!AB25+'Etihad Etisalat (mobily)'!AB24)*1000</f>
        <v>11988779000</v>
      </c>
      <c r="F28" s="50">
        <f t="shared" si="3"/>
        <v>230.55344230769231</v>
      </c>
      <c r="G28" s="67">
        <f t="shared" si="2"/>
        <v>1.9607843137254902E-2</v>
      </c>
    </row>
    <row r="29" spans="1:7" x14ac:dyDescent="0.25">
      <c r="A29" t="s">
        <v>121</v>
      </c>
      <c r="B29" s="60">
        <f t="shared" si="1"/>
        <v>28</v>
      </c>
      <c r="C29" s="8">
        <v>201404</v>
      </c>
      <c r="D29" s="55">
        <v>53000000</v>
      </c>
      <c r="E29" s="62">
        <f>(STC!AC24+'MTC Zain'!AC24+'Etihad Atheeb'!AC25+'Etihad Etisalat (mobily)'!AC24)*1000</f>
        <v>12478074000</v>
      </c>
      <c r="F29" s="50">
        <f t="shared" si="3"/>
        <v>235.43535849056605</v>
      </c>
      <c r="G29" s="67">
        <f t="shared" si="2"/>
        <v>1.9230769230769232E-2</v>
      </c>
    </row>
    <row r="30" spans="1:7" x14ac:dyDescent="0.25">
      <c r="A30" t="s">
        <v>122</v>
      </c>
      <c r="B30" s="60">
        <f t="shared" si="1"/>
        <v>29</v>
      </c>
      <c r="C30">
        <v>201501</v>
      </c>
      <c r="D30" s="55">
        <v>51800000</v>
      </c>
      <c r="E30" s="62">
        <f>(STC!AD24+'MTC Zain'!AD24+'Etihad Atheeb'!AD25+'Etihad Etisalat (mobily)'!AD24)*1000</f>
        <v>10871349000</v>
      </c>
      <c r="F30" s="50">
        <f t="shared" si="3"/>
        <v>209.87160231660232</v>
      </c>
      <c r="G30" s="67">
        <f t="shared" si="2"/>
        <v>-2.2641509433962263E-2</v>
      </c>
    </row>
    <row r="31" spans="1:7" x14ac:dyDescent="0.25">
      <c r="A31" t="s">
        <v>123</v>
      </c>
      <c r="B31" s="60">
        <f t="shared" si="1"/>
        <v>30</v>
      </c>
      <c r="C31" s="8">
        <v>201502</v>
      </c>
      <c r="D31" s="55">
        <v>52400000</v>
      </c>
      <c r="E31" s="62">
        <f>(STC!AE24+'MTC Zain'!AE24+'Etihad Atheeb'!AE25+'Etihad Etisalat (mobily)'!AE24)*1000</f>
        <v>10582798000</v>
      </c>
      <c r="F31" s="50">
        <f t="shared" si="3"/>
        <v>201.96179389312977</v>
      </c>
      <c r="G31" s="67">
        <f t="shared" si="2"/>
        <v>1.1583011583011582E-2</v>
      </c>
    </row>
    <row r="32" spans="1:7" x14ac:dyDescent="0.25">
      <c r="A32" t="s">
        <v>124</v>
      </c>
      <c r="B32" s="60">
        <f t="shared" si="1"/>
        <v>31</v>
      </c>
      <c r="C32" s="8">
        <v>201503</v>
      </c>
      <c r="D32" s="55">
        <f>D31+(D36/2)</f>
        <v>53000000</v>
      </c>
      <c r="E32" s="62">
        <f>(STC!AF24+'MTC Zain'!AF24+'Etihad Atheeb'!AF25+'Etihad Etisalat (mobily)'!AF24)*1000</f>
        <v>11291131000</v>
      </c>
      <c r="F32" s="50">
        <f t="shared" si="3"/>
        <v>213.04020754716981</v>
      </c>
      <c r="G32" s="67">
        <f t="shared" si="2"/>
        <v>1.1450381679389313E-2</v>
      </c>
    </row>
    <row r="33" spans="1:7" x14ac:dyDescent="0.25">
      <c r="A33" t="s">
        <v>125</v>
      </c>
      <c r="B33" s="60">
        <f t="shared" si="1"/>
        <v>32</v>
      </c>
      <c r="C33" s="8">
        <v>201504</v>
      </c>
      <c r="D33" s="55">
        <v>53000000</v>
      </c>
      <c r="E33" s="62">
        <f>(STC!AG24+'MTC Zain'!AG24+'Etihad Atheeb'!AG25+'Etihad Etisalat (mobily)'!AG24)*1000</f>
        <v>11579173000</v>
      </c>
      <c r="F33" s="50">
        <f t="shared" si="3"/>
        <v>218.47496226415095</v>
      </c>
      <c r="G33" s="67">
        <f t="shared" si="2"/>
        <v>0</v>
      </c>
    </row>
    <row r="34" spans="1:7" x14ac:dyDescent="0.25">
      <c r="C34" s="8"/>
      <c r="F34" s="68">
        <f>AVERAGE(G3:G33)</f>
        <v>1.9012341734802561E-2</v>
      </c>
    </row>
    <row r="36" spans="1:7" x14ac:dyDescent="0.25">
      <c r="D36" s="73">
        <f>D33-D30</f>
        <v>1200000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F10:H10"/>
  <sheetViews>
    <sheetView workbookViewId="0">
      <selection activeCell="I10" sqref="I10"/>
    </sheetView>
  </sheetViews>
  <sheetFormatPr defaultRowHeight="15" x14ac:dyDescent="0.25"/>
  <sheetData>
    <row r="10" spans="6:8" x14ac:dyDescent="0.25">
      <c r="F10">
        <v>4</v>
      </c>
      <c r="G10">
        <v>4</v>
      </c>
      <c r="H10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STC</vt:lpstr>
      <vt:lpstr>MTC Zain</vt:lpstr>
      <vt:lpstr>Etihad Etisalat (mobily)</vt:lpstr>
      <vt:lpstr>Etihad Atheeb</vt:lpstr>
      <vt:lpstr>XX</vt:lpstr>
      <vt:lpstr>NILL</vt:lpstr>
      <vt:lpstr>SPSS Format</vt:lpstr>
      <vt:lpstr>ARPU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d.oseni</dc:creator>
  <cp:lastModifiedBy>Dr. AbdulHafiz Jones</cp:lastModifiedBy>
  <cp:lastPrinted>2016-03-27T11:03:41Z</cp:lastPrinted>
  <dcterms:created xsi:type="dcterms:W3CDTF">2016-03-23T06:33:37Z</dcterms:created>
  <dcterms:modified xsi:type="dcterms:W3CDTF">2017-10-10T14:28:48Z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016f14eb-c8d7-4054-bea5-19846d61e1a9</vt:lpwstr>
  </property>
</Properties>
</file>